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14985" windowHeight="6720" activeTab="0"/>
  </bookViews>
  <sheets>
    <sheet name="Balance Sheet-1" sheetId="1" r:id="rId1"/>
    <sheet name="Income Statement-2" sheetId="2" r:id="rId2"/>
    <sheet name="Equity QTD-3" sheetId="3" r:id="rId3"/>
    <sheet name="Equity YTD-4" sheetId="4" r:id="rId4"/>
    <sheet name="Earned Incurred QTD-5" sheetId="5" r:id="rId5"/>
    <sheet name="Earned Incurred YTD-6" sheetId="6" r:id="rId6"/>
    <sheet name="Premiums QTD-7" sheetId="7" r:id="rId7"/>
    <sheet name="Premiums YTD-8" sheetId="8" r:id="rId8"/>
    <sheet name="Losses Incurred QTD-9" sheetId="9" r:id="rId9"/>
    <sheet name="Losses Incurred YTD-10" sheetId="10" r:id="rId10"/>
    <sheet name="Loss Expenses QTD-11" sheetId="11" r:id="rId11"/>
    <sheet name="Loss Expenses YTD-12" sheetId="12" r:id="rId12"/>
  </sheets>
  <externalReferences>
    <externalReference r:id="rId15"/>
  </externalReferences>
  <definedNames/>
  <calcPr fullCalcOnLoad="1"/>
</workbook>
</file>

<file path=xl/sharedStrings.xml><?xml version="1.0" encoding="utf-8"?>
<sst xmlns="http://schemas.openxmlformats.org/spreadsheetml/2006/main" count="486" uniqueCount="210">
  <si>
    <t>TOTAL LIABILITIES PLUS EQUITY ACCOUNT</t>
  </si>
  <si>
    <t xml:space="preserve">     NET EQUITY AT JUNE 30, 2012</t>
  </si>
  <si>
    <t>EQUITY ACCOUNT</t>
  </si>
  <si>
    <t>TOTAL LIABILITIES &amp; RESERVES</t>
  </si>
  <si>
    <t xml:space="preserve">                            TOTAL RESERVES</t>
  </si>
  <si>
    <t xml:space="preserve">     TAXES &amp; FEES </t>
  </si>
  <si>
    <t xml:space="preserve">     ASSOCIATION EXPENSES </t>
  </si>
  <si>
    <t xml:space="preserve">     LOSS EXPENSE- UNALLOCATED</t>
  </si>
  <si>
    <t xml:space="preserve">     LOSS EXPENSE- ALLOCATED</t>
  </si>
  <si>
    <t xml:space="preserve">     LOSS - I.B.N.R</t>
  </si>
  <si>
    <t xml:space="preserve">     LOSS - CASE BASIS</t>
  </si>
  <si>
    <t xml:space="preserve">     UNEARNED PREMIUMS</t>
  </si>
  <si>
    <t>RESERVES</t>
  </si>
  <si>
    <t xml:space="preserve">          TOTAL LIABILITIES</t>
  </si>
  <si>
    <t xml:space="preserve">      CLAIM CHECKS PAYABLE</t>
  </si>
  <si>
    <t xml:space="preserve">      OTHER PAYABLES</t>
  </si>
  <si>
    <t xml:space="preserve">      RETURN PREMIUMS</t>
  </si>
  <si>
    <t xml:space="preserve">      ADVANCE PREMIUMS</t>
  </si>
  <si>
    <t xml:space="preserve">      AMOUNTS HELD FOR OTHERS</t>
  </si>
  <si>
    <t xml:space="preserve">      DEFINED BENEFIT PENSION PLAN</t>
  </si>
  <si>
    <t xml:space="preserve">      POST RETIREMENT BENEFITS (other than pensions)</t>
  </si>
  <si>
    <t>LIABILITIES</t>
  </si>
  <si>
    <t xml:space="preserve">          TOTAL ASSETS</t>
  </si>
  <si>
    <t xml:space="preserve">     PREMIUMS RECEIVABLE</t>
  </si>
  <si>
    <t xml:space="preserve">     EDP - EQUIPMENT &amp; SOFTWARE</t>
  </si>
  <si>
    <t xml:space="preserve">     FURNITURE &amp; EQUIPMENT</t>
  </si>
  <si>
    <t xml:space="preserve">     ACCRUED INTEREST</t>
  </si>
  <si>
    <t xml:space="preserve">     PREPAID PENSION COST</t>
  </si>
  <si>
    <t xml:space="preserve">     CASH &amp; SHORT-TERM INVESTMENTS</t>
  </si>
  <si>
    <t xml:space="preserve">     STOCKS</t>
  </si>
  <si>
    <t xml:space="preserve">     BONDS</t>
  </si>
  <si>
    <t>ASSETS</t>
  </si>
  <si>
    <t>NET ADMITTED ASSETS</t>
  </si>
  <si>
    <t>NON- ADMITTED ASSETS</t>
  </si>
  <si>
    <t>NON-LEDGER ASSETS</t>
  </si>
  <si>
    <t>LEDGER ASSETS</t>
  </si>
  <si>
    <t>AT JUNE 30, 2012</t>
  </si>
  <si>
    <t>BALANCE SHEET</t>
  </si>
  <si>
    <t>NEW JERSEY INSURANCE UNDERWRITING ASSOCIATION</t>
  </si>
  <si>
    <t xml:space="preserve"> </t>
  </si>
  <si>
    <t>NET EQUITY AT JUNE 30, 2012</t>
  </si>
  <si>
    <t>CHANGE IN EQUITY</t>
  </si>
  <si>
    <r>
      <t xml:space="preserve">     NET UNREALIZED GAIN</t>
    </r>
    <r>
      <rPr>
        <sz val="11"/>
        <color indexed="10"/>
        <rFont val="Century Schoolbook"/>
        <family val="1"/>
      </rPr>
      <t xml:space="preserve"> </t>
    </r>
  </si>
  <si>
    <t xml:space="preserve">     CHANGE IN NONADMITTED ASSETS</t>
  </si>
  <si>
    <r>
      <t xml:space="preserve">     NET GAIN </t>
    </r>
    <r>
      <rPr>
        <sz val="11"/>
        <color indexed="14"/>
        <rFont val="Century Schoolbook"/>
        <family val="1"/>
      </rPr>
      <t>(LOSS)</t>
    </r>
    <r>
      <rPr>
        <sz val="11"/>
        <rFont val="Century Schoolbook"/>
        <family val="1"/>
      </rPr>
      <t xml:space="preserve"> FOR PERIOD</t>
    </r>
  </si>
  <si>
    <t xml:space="preserve">     NET EQUITY - PRIOR</t>
  </si>
  <si>
    <r>
      <t xml:space="preserve"> NET GAIN</t>
    </r>
    <r>
      <rPr>
        <sz val="11"/>
        <color indexed="10"/>
        <rFont val="Century Schoolbook"/>
        <family val="1"/>
      </rPr>
      <t xml:space="preserve"> (LOSS)</t>
    </r>
  </si>
  <si>
    <t xml:space="preserve">         TOTAL OTHER INCOME</t>
  </si>
  <si>
    <t xml:space="preserve">       INSTALLMENT SERVICE FEE</t>
  </si>
  <si>
    <r>
      <t xml:space="preserve">       OTHER INCOME </t>
    </r>
  </si>
  <si>
    <t>OTHER INCOME</t>
  </si>
  <si>
    <t xml:space="preserve">         NET INVESTMENT GAIN</t>
  </si>
  <si>
    <r>
      <t xml:space="preserve">     NET REALIZED CAPITAL GAIN</t>
    </r>
    <r>
      <rPr>
        <sz val="11"/>
        <color indexed="10"/>
        <rFont val="Century Schoolbook"/>
        <family val="1"/>
      </rPr>
      <t xml:space="preserve"> (LOSS)</t>
    </r>
  </si>
  <si>
    <t xml:space="preserve">     NET INVESTMENT INCOME EARNED</t>
  </si>
  <si>
    <t>INVESTMENT INCOME</t>
  </si>
  <si>
    <t xml:space="preserve"> UNDERWRITING LOSS</t>
  </si>
  <si>
    <t xml:space="preserve">         TOTAL DEDUCTIONS</t>
  </si>
  <si>
    <t xml:space="preserve">     TAXES &amp; FEES INCURRED</t>
  </si>
  <si>
    <t xml:space="preserve">     OTHER UNDERWRITING EXPENSES</t>
  </si>
  <si>
    <t xml:space="preserve">     COMMISSIONS INCURRED</t>
  </si>
  <si>
    <t xml:space="preserve">     LOSS EXPENSES INCURRED</t>
  </si>
  <si>
    <t xml:space="preserve">     LOSSES INCURRED</t>
  </si>
  <si>
    <t>DEDUCTIONS</t>
  </si>
  <si>
    <t xml:space="preserve">     PREMIUMS EARNED</t>
  </si>
  <si>
    <t>UNDERWRITING INCOME</t>
  </si>
  <si>
    <t>YEAR-TO-DATE</t>
  </si>
  <si>
    <t>QUARTER-TO-DATE</t>
  </si>
  <si>
    <t>JUNE 30, 2012</t>
  </si>
  <si>
    <t xml:space="preserve"> INCOME STATEMENT</t>
  </si>
  <si>
    <t>NET CHANGE IN EQUITY</t>
  </si>
  <si>
    <t xml:space="preserve">          TOTAL</t>
  </si>
  <si>
    <t xml:space="preserve">     UNPAID TAXES &amp; FEES</t>
  </si>
  <si>
    <t xml:space="preserve">     UNPAID ASSOCIATION EXPENSES</t>
  </si>
  <si>
    <t xml:space="preserve">     UNPAID LOSSES EXPENSES</t>
  </si>
  <si>
    <t xml:space="preserve">     UNPAID LOSSES</t>
  </si>
  <si>
    <t>PRIOR RESERVES</t>
  </si>
  <si>
    <t xml:space="preserve">     UNPAID LOSS EXPENSES</t>
  </si>
  <si>
    <t>CURRENT RESERVES</t>
  </si>
  <si>
    <t>EQUITY IN ASSETS OF ASSOCIATION</t>
  </si>
  <si>
    <t xml:space="preserve">     NET UNREALIZED GAIN</t>
  </si>
  <si>
    <t xml:space="preserve">     PRIOR NONADMITTED ASSETS</t>
  </si>
  <si>
    <t xml:space="preserve">     CURRENT ACCRUED INTEREST</t>
  </si>
  <si>
    <t>ADD</t>
  </si>
  <si>
    <t xml:space="preserve">     CURRENT NONADMITTED ASSETS</t>
  </si>
  <si>
    <t xml:space="preserve">     PRIOR ACCRUED INTEREST</t>
  </si>
  <si>
    <t>DEDUCT</t>
  </si>
  <si>
    <t>INCREASE (DECREASE)</t>
  </si>
  <si>
    <t xml:space="preserve">     ASSOCIATION EXPENSES</t>
  </si>
  <si>
    <t xml:space="preserve">     COMMISSIONS</t>
  </si>
  <si>
    <t xml:space="preserve">     BOARDS &amp; BUREAUS</t>
  </si>
  <si>
    <t xml:space="preserve">     SURVEYS &amp; UNDERWRITING RPTS</t>
  </si>
  <si>
    <t xml:space="preserve">     INSPECTION AND RATING ISO</t>
  </si>
  <si>
    <t xml:space="preserve">     UNALLOCATED LOSS EXPENSE</t>
  </si>
  <si>
    <t xml:space="preserve">     ALLOCATED LOSS EXPENSE </t>
  </si>
  <si>
    <t xml:space="preserve">     LOSSES PAID</t>
  </si>
  <si>
    <t>EXPENSES PAID</t>
  </si>
  <si>
    <t xml:space="preserve">      NET REALIZED CAPITAL LOSS</t>
  </si>
  <si>
    <t xml:space="preserve">      INVESTMENT INCOME RECEIVED</t>
  </si>
  <si>
    <t xml:space="preserve">      PREMIUMS WRITTEN</t>
  </si>
  <si>
    <t>INCOME RECEIVED</t>
  </si>
  <si>
    <t>TOTAL</t>
  </si>
  <si>
    <t>POLICY YEAR 2009</t>
  </si>
  <si>
    <t>POLICY YEAR 2010</t>
  </si>
  <si>
    <t>POLICY YEAR 2011</t>
  </si>
  <si>
    <t>POLICY YEAR 2012</t>
  </si>
  <si>
    <t>QTD PERIOD ENDED JUNE 30, 2012</t>
  </si>
  <si>
    <t xml:space="preserve"> EQUITY ACCOUNT</t>
  </si>
  <si>
    <t xml:space="preserve">      NET REALIZED CAPITAL GAIN</t>
  </si>
  <si>
    <t xml:space="preserve">      INSTALLMENT SERVICE FEE</t>
  </si>
  <si>
    <t>YTD PERIOD ENDED JUNE 30, 2012</t>
  </si>
  <si>
    <t>Net Loss</t>
  </si>
  <si>
    <t>Installment Service Fee</t>
  </si>
  <si>
    <t>Net Investment Gain</t>
  </si>
  <si>
    <t>Net Realized Capital Loss</t>
  </si>
  <si>
    <t>Net Investment Income Earned</t>
  </si>
  <si>
    <t>Change in Accrued Interest</t>
  </si>
  <si>
    <t>Prior Accrued Interest</t>
  </si>
  <si>
    <t>Current Accrued Interest</t>
  </si>
  <si>
    <t>Net Investment Income Received</t>
  </si>
  <si>
    <t>Underwriting Loss</t>
  </si>
  <si>
    <t>Total Loss &amp; Underwriting Exp. Incurred</t>
  </si>
  <si>
    <t>Total Other Underwriting Exp. Incurred</t>
  </si>
  <si>
    <t>Other Underwriting Exp. Incurred</t>
  </si>
  <si>
    <t>Change in Other Underwriting Exp. Reserve</t>
  </si>
  <si>
    <t>Prior Reserve</t>
  </si>
  <si>
    <t>Current Reserve</t>
  </si>
  <si>
    <t>Total Underwriting Exp. Paid</t>
  </si>
  <si>
    <t>Other Operating Exp. Paid</t>
  </si>
  <si>
    <t>Board Bureaus &amp; Inspections Paid</t>
  </si>
  <si>
    <t>Commissions Expense Paid</t>
  </si>
  <si>
    <t>Net Taxes &amp; Fees Incurred</t>
  </si>
  <si>
    <t>Change in Reserve for Taxes &amp; Fees</t>
  </si>
  <si>
    <t>Taxes &amp; Fees Paid</t>
  </si>
  <si>
    <t>Total Loss &amp; Loss Exp. Incurred</t>
  </si>
  <si>
    <t>Net Loss Exp. Incurred</t>
  </si>
  <si>
    <t>Change in Loss Exp. Reserve</t>
  </si>
  <si>
    <t>Prior Loss Exp. Reserve</t>
  </si>
  <si>
    <t>Current Loss Exp. Reserve</t>
  </si>
  <si>
    <t>Total Loss Exp. Paid</t>
  </si>
  <si>
    <t>Unallocated Loss Exp. Paid</t>
  </si>
  <si>
    <t>Allocated Loss Exp. Paid</t>
  </si>
  <si>
    <t>Net Losses Incurred</t>
  </si>
  <si>
    <t>Change in Loss Reserve</t>
  </si>
  <si>
    <t>Prior Loss Reserve</t>
  </si>
  <si>
    <t>Current Loss Reserve</t>
  </si>
  <si>
    <t>Net Losses Paid</t>
  </si>
  <si>
    <t>Less Salvage &amp; Subrogation</t>
  </si>
  <si>
    <t>Losses Paid</t>
  </si>
  <si>
    <t>Net Premium Earned</t>
  </si>
  <si>
    <t>Change in Unearned Premium Reserve</t>
  </si>
  <si>
    <t>Prior Unearned Reserve</t>
  </si>
  <si>
    <t>Current Unearned Reserve</t>
  </si>
  <si>
    <t>Premiums Written</t>
  </si>
  <si>
    <t>06-30-12</t>
  </si>
  <si>
    <t/>
  </si>
  <si>
    <t>QTD PERIOD ENDING JUNE 30, 2012</t>
  </si>
  <si>
    <t>EARNED/INCURRED BASIS</t>
  </si>
  <si>
    <t>UNDERWRITING STATEMENT</t>
  </si>
  <si>
    <t>Net Gain</t>
  </si>
  <si>
    <t>Net Realized Capital Gain</t>
  </si>
  <si>
    <t>YTD PERIOD ENDING JUNE 30, 2012</t>
  </si>
  <si>
    <t>*Note: The Terrorism Risk Insurance Program Reauthorization Act of 2007 requires insurers to report direct earned premium for commercial business written.                                                         This amount is shown on page 8.</t>
  </si>
  <si>
    <t xml:space="preserve">            TOTAL</t>
  </si>
  <si>
    <t xml:space="preserve">     CRIME</t>
  </si>
  <si>
    <t xml:space="preserve">     ALLIED </t>
  </si>
  <si>
    <t xml:space="preserve">     FIRE</t>
  </si>
  <si>
    <t>EARNED PREMIUM</t>
  </si>
  <si>
    <t>PRIOR UNEARNED PREMIUM RESERVE                     @ 03-31-12</t>
  </si>
  <si>
    <t xml:space="preserve">    CRIME</t>
  </si>
  <si>
    <t xml:space="preserve">    ALLIED </t>
  </si>
  <si>
    <t>CURRENT UNEARNED PREMIUM RESERVE              @ 06-30-12</t>
  </si>
  <si>
    <t>WRITTEN PREMIUMS</t>
  </si>
  <si>
    <t>*SEE NOTE BELOW</t>
  </si>
  <si>
    <t>STATISTICAL REPORT ON PREMIUMS</t>
  </si>
  <si>
    <t>There were no terrorism losses reported. Please use your latest NJ member participation listing to calculate your share of commercial premium. The result of this calculation should be treated as assumed earned premium for the purpose of calculating an Insurer deductible under the Act.</t>
  </si>
  <si>
    <r>
      <t xml:space="preserve">                                           </t>
    </r>
    <r>
      <rPr>
        <b/>
        <sz val="9"/>
        <rFont val="Century Schoolbook"/>
        <family val="1"/>
      </rPr>
      <t xml:space="preserve">         4Q11</t>
    </r>
    <r>
      <rPr>
        <sz val="9"/>
        <rFont val="Century Schoolbook"/>
        <family val="1"/>
      </rPr>
      <t xml:space="preserve">         $155,412</t>
    </r>
  </si>
  <si>
    <r>
      <t xml:space="preserve">                                           </t>
    </r>
    <r>
      <rPr>
        <b/>
        <sz val="9"/>
        <rFont val="Century Schoolbook"/>
        <family val="1"/>
      </rPr>
      <t xml:space="preserve">         3Q11</t>
    </r>
    <r>
      <rPr>
        <sz val="9"/>
        <rFont val="Century Schoolbook"/>
        <family val="1"/>
      </rPr>
      <t xml:space="preserve">         $162,257</t>
    </r>
  </si>
  <si>
    <r>
      <t xml:space="preserve">       2Q12       </t>
    </r>
    <r>
      <rPr>
        <sz val="9"/>
        <rFont val="Century Schoolbook"/>
        <family val="1"/>
      </rPr>
      <t>$144,440</t>
    </r>
  </si>
  <si>
    <r>
      <t xml:space="preserve">                                           </t>
    </r>
    <r>
      <rPr>
        <b/>
        <sz val="9"/>
        <rFont val="Century Schoolbook"/>
        <family val="1"/>
      </rPr>
      <t xml:space="preserve">         2Q11</t>
    </r>
    <r>
      <rPr>
        <sz val="9"/>
        <rFont val="Century Schoolbook"/>
        <family val="1"/>
      </rPr>
      <t xml:space="preserve">         $164,318</t>
    </r>
  </si>
  <si>
    <r>
      <t xml:space="preserve">       1Q12       </t>
    </r>
    <r>
      <rPr>
        <sz val="9"/>
        <rFont val="Century Schoolbook"/>
        <family val="1"/>
      </rPr>
      <t>$147,363</t>
    </r>
  </si>
  <si>
    <r>
      <t xml:space="preserve">                                           </t>
    </r>
    <r>
      <rPr>
        <b/>
        <sz val="9"/>
        <rFont val="Century Schoolbook"/>
        <family val="1"/>
      </rPr>
      <t xml:space="preserve">         1Q11</t>
    </r>
    <r>
      <rPr>
        <sz val="9"/>
        <rFont val="Century Schoolbook"/>
        <family val="1"/>
      </rPr>
      <t xml:space="preserve">         $171,961</t>
    </r>
  </si>
  <si>
    <t>Total TRIA</t>
  </si>
  <si>
    <t>Commercial</t>
  </si>
  <si>
    <t>1-4 Family Tenant-Occupied</t>
  </si>
  <si>
    <t>*Note: The Terrorism Risk Insurance Program Reauthorization Act of 2007 requires residual market insurance entities that share profits and losses with private sector insurers, to report its share of direct earned premium and losses for commercial property insurance coverage to each private sector insurance participant.  In July 2003, the Treasury broadened the definition of "commercial risk" to include 1-4 family tenant-occupied dwellings.  The schedule shown below summarizes both commercial and 1-4 family-tenant occupied dwelling direct earned premium for the last six quarters:</t>
  </si>
  <si>
    <t>PRIOR UNEARNED PREMIUM RESERVE                     @ 12-31-11</t>
  </si>
  <si>
    <t xml:space="preserve">       CRIME</t>
  </si>
  <si>
    <t xml:space="preserve">       ALLIED </t>
  </si>
  <si>
    <t xml:space="preserve">       FIRE</t>
  </si>
  <si>
    <t>INCURRED LOSSES</t>
  </si>
  <si>
    <t>(Including I.B.N.R. Reserves)</t>
  </si>
  <si>
    <t>PRIOR LOSS RESERVES (03-31-12)</t>
  </si>
  <si>
    <t>CURRENT I.B.N.R. RESERVES (06-30-12)</t>
  </si>
  <si>
    <t>CURRENT CASE BASIS RESERVES (06-30-12)</t>
  </si>
  <si>
    <t xml:space="preserve">      FIRE</t>
  </si>
  <si>
    <t>Net of Salvage &amp; Subrogation Received</t>
  </si>
  <si>
    <t xml:space="preserve">PAID LOSSES </t>
  </si>
  <si>
    <t xml:space="preserve"> STATISTICAL REPORT ON LOSSES</t>
  </si>
  <si>
    <t>PRIOR LOSS RESERVES (12-31-11)</t>
  </si>
  <si>
    <t>CRIME</t>
  </si>
  <si>
    <t xml:space="preserve">ALLIED </t>
  </si>
  <si>
    <t>FIRE</t>
  </si>
  <si>
    <t>ALAE &amp; ULAE LOSS EXPENSES  INCURRED</t>
  </si>
  <si>
    <t>ALLIED</t>
  </si>
  <si>
    <t>PRIOR LOSS  EXPENSE RESERVES                     @ 03-31-12</t>
  </si>
  <si>
    <t>CURRENT LOSS EXPENSE RESERVES               @ 06-30-12</t>
  </si>
  <si>
    <t>LOSS EXPENSES PAID                                      (ALAE AND ULAE)</t>
  </si>
  <si>
    <t>(INCLUDES ALLOCATED AND UNALLOCATED LOSS EXPENSES)</t>
  </si>
  <si>
    <t>STATISTICAL REPORT ON LOSS EXPENSES</t>
  </si>
  <si>
    <t>PRIOR LOSS  EXPENSE RESERVES                     @ 12-31-11</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</si>
</sst>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 ;[Red]\ \(0%\)"/>
    <numFmt numFmtId="166" formatCode="&quot;$&quot;#,##0.000_);\(&quot;$&quot;#,##0.000\)"/>
  </numFmts>
  <fonts count="71">
    <font>
      <sz val="10"/>
      <name val="Arial"/>
      <family val="0"/>
    </font>
    <font>
      <sz val="11"/>
      <color indexed="8"/>
      <name val="Calibri"/>
      <family val="2"/>
    </font>
    <font>
      <sz val="11"/>
      <name val="Century Schoolbook"/>
      <family val="1"/>
    </font>
    <font>
      <b/>
      <i/>
      <sz val="10"/>
      <name val="Century Schoolbook"/>
      <family val="1"/>
    </font>
    <font>
      <b/>
      <i/>
      <sz val="11"/>
      <name val="Century Schoolbook"/>
      <family val="1"/>
    </font>
    <font>
      <b/>
      <sz val="11"/>
      <name val="Century Schoolbook"/>
      <family val="1"/>
    </font>
    <font>
      <b/>
      <u val="single"/>
      <sz val="11"/>
      <name val="Century Schoolbook"/>
      <family val="1"/>
    </font>
    <font>
      <b/>
      <sz val="11"/>
      <color indexed="8"/>
      <name val="Century Schoolbook"/>
      <family val="1"/>
    </font>
    <font>
      <b/>
      <sz val="13"/>
      <name val="Century Schoolbook"/>
      <family val="1"/>
    </font>
    <font>
      <b/>
      <sz val="54"/>
      <color indexed="10"/>
      <name val="Calibri"/>
      <family val="2"/>
    </font>
    <font>
      <b/>
      <sz val="12"/>
      <name val="Century Schoolbook"/>
      <family val="1"/>
    </font>
    <font>
      <b/>
      <sz val="15"/>
      <name val="Century Schoolbook"/>
      <family val="1"/>
    </font>
    <font>
      <b/>
      <sz val="14"/>
      <name val="Century Schoolbook"/>
      <family val="1"/>
    </font>
    <font>
      <b/>
      <sz val="18"/>
      <name val="Century Schoolbook"/>
      <family val="1"/>
    </font>
    <font>
      <sz val="11"/>
      <color indexed="8"/>
      <name val="Century Schoolbook"/>
      <family val="1"/>
    </font>
    <font>
      <b/>
      <sz val="18"/>
      <color indexed="8"/>
      <name val="Century Schoolbook"/>
      <family val="1"/>
    </font>
    <font>
      <b/>
      <sz val="14"/>
      <color indexed="8"/>
      <name val="Century Schoolbook"/>
      <family val="1"/>
    </font>
    <font>
      <b/>
      <sz val="12"/>
      <color indexed="8"/>
      <name val="Century Schoolbook"/>
      <family val="1"/>
    </font>
    <font>
      <b/>
      <sz val="10"/>
      <color indexed="8"/>
      <name val="Century Schoolbook"/>
      <family val="1"/>
    </font>
    <font>
      <b/>
      <u val="single"/>
      <sz val="11"/>
      <color indexed="8"/>
      <name val="Century Schoolbook"/>
      <family val="1"/>
    </font>
    <font>
      <sz val="9"/>
      <name val="Century Schoolbook"/>
      <family val="1"/>
    </font>
    <font>
      <sz val="11"/>
      <color indexed="10"/>
      <name val="Century Schoolbook"/>
      <family val="1"/>
    </font>
    <font>
      <sz val="11"/>
      <color indexed="14"/>
      <name val="Century Schoolbook"/>
      <family val="1"/>
    </font>
    <font>
      <sz val="10"/>
      <name val="Century Schoolbook"/>
      <family val="1"/>
    </font>
    <font>
      <sz val="13"/>
      <name val="Century Schoolbook"/>
      <family val="1"/>
    </font>
    <font>
      <sz val="12"/>
      <name val="Century Schoolbook"/>
      <family val="1"/>
    </font>
    <font>
      <sz val="16"/>
      <name val="Century Schoolbook"/>
      <family val="1"/>
    </font>
    <font>
      <b/>
      <sz val="20"/>
      <name val="Century Schoolbook"/>
      <family val="1"/>
    </font>
    <font>
      <u val="single"/>
      <sz val="11"/>
      <name val="Century Schoolbook"/>
      <family val="1"/>
    </font>
    <font>
      <sz val="18"/>
      <name val="Century Schoolbook"/>
      <family val="1"/>
    </font>
    <font>
      <sz val="11"/>
      <color indexed="9"/>
      <name val="Century Schoolbook"/>
      <family val="1"/>
    </font>
    <font>
      <sz val="15"/>
      <name val="Century Schoolbook"/>
      <family val="1"/>
    </font>
    <font>
      <sz val="20"/>
      <name val="Century Schoolbook"/>
      <family val="1"/>
    </font>
    <font>
      <b/>
      <sz val="9"/>
      <name val="Century Schoolbook"/>
      <family val="1"/>
    </font>
    <font>
      <b/>
      <u val="single"/>
      <sz val="9"/>
      <name val="Century Schoolbook"/>
      <family val="1"/>
    </font>
    <font>
      <sz val="22"/>
      <name val="Century Schoolbook"/>
      <family val="1"/>
    </font>
    <font>
      <b/>
      <sz val="11"/>
      <color indexed="9"/>
      <name val="Century Schoolbook"/>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54"/>
      <color rgb="FFE0322D"/>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double"/>
    </border>
    <border>
      <left/>
      <right/>
      <top style="thin"/>
      <bottom style="thin"/>
    </border>
    <border>
      <left/>
      <right/>
      <top/>
      <bottom style="thin"/>
    </border>
    <border>
      <left style="thin"/>
      <right style="thin"/>
      <top style="thin"/>
      <bottom style="thin"/>
    </border>
    <border>
      <left style="thin"/>
      <right style="thin"/>
      <top/>
      <bottom/>
    </border>
    <border>
      <left style="thin"/>
      <right style="thin"/>
      <top style="thin"/>
      <bottom/>
    </border>
    <border>
      <left/>
      <right style="thin"/>
      <top style="thin"/>
      <bottom style="double"/>
    </border>
    <border>
      <left/>
      <right style="thin"/>
      <top/>
      <bottom style="thin"/>
    </border>
    <border>
      <left/>
      <right style="thin"/>
      <top/>
      <bottom/>
    </border>
    <border>
      <left/>
      <right style="thin"/>
      <top style="medium"/>
      <bottom/>
    </border>
    <border>
      <left/>
      <right style="thin"/>
      <top/>
      <bottom style="medium"/>
    </border>
    <border>
      <left/>
      <right style="thin"/>
      <top style="thin"/>
      <bottom/>
    </border>
    <border>
      <left style="thin"/>
      <right/>
      <top/>
      <bottom style="thin"/>
    </border>
    <border>
      <left/>
      <right style="thin"/>
      <top style="thin"/>
      <bottom style="thin"/>
    </border>
    <border>
      <left style="thin"/>
      <right/>
      <top/>
      <bottom/>
    </border>
    <border>
      <left/>
      <right/>
      <top style="thin"/>
      <bottom/>
    </border>
    <border>
      <left style="thin"/>
      <right/>
      <top style="thin"/>
      <bottom/>
    </border>
  </borders>
  <cellStyleXfs count="8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0" applyNumberFormat="0" applyBorder="0" applyAlignment="0" applyProtection="0"/>
    <xf numFmtId="0" fontId="56" fillId="27" borderId="1" applyNumberFormat="0" applyAlignment="0" applyProtection="0"/>
    <xf numFmtId="0" fontId="5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0" applyNumberFormat="0" applyFill="0" applyBorder="0" applyAlignment="0" applyProtection="0"/>
    <xf numFmtId="0" fontId="59" fillId="29"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63" fillId="30" borderId="1" applyNumberFormat="0" applyAlignment="0" applyProtection="0"/>
    <xf numFmtId="0" fontId="64" fillId="0" borderId="6" applyNumberFormat="0" applyFill="0" applyAlignment="0" applyProtection="0"/>
    <xf numFmtId="0" fontId="65"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53" fillId="0" borderId="0">
      <alignment/>
      <protection/>
    </xf>
    <xf numFmtId="0" fontId="1"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1" fillId="0" borderId="0">
      <alignment/>
      <protection/>
    </xf>
    <xf numFmtId="0" fontId="53" fillId="0" borderId="0">
      <alignment/>
      <protection/>
    </xf>
    <xf numFmtId="0" fontId="53" fillId="0" borderId="0">
      <alignment/>
      <protection/>
    </xf>
    <xf numFmtId="0" fontId="53" fillId="0" borderId="0">
      <alignment/>
      <protection/>
    </xf>
    <xf numFmtId="0" fontId="0" fillId="32" borderId="7" applyNumberFormat="0" applyFont="0" applyAlignment="0" applyProtection="0"/>
    <xf numFmtId="0" fontId="66" fillId="27" borderId="8" applyNumberFormat="0" applyAlignment="0" applyProtection="0"/>
    <xf numFmtId="9" fontId="0" fillId="0" borderId="0" applyFont="0" applyFill="0" applyBorder="0" applyAlignment="0" applyProtection="0"/>
    <xf numFmtId="0" fontId="14" fillId="0" borderId="0" applyNumberFormat="0" applyBorder="0" applyAlignment="0">
      <protection/>
    </xf>
    <xf numFmtId="0" fontId="15" fillId="0" borderId="0" applyNumberFormat="0" applyBorder="0" applyAlignment="0">
      <protection/>
    </xf>
    <xf numFmtId="0" fontId="16" fillId="0" borderId="0" applyNumberFormat="0" applyBorder="0" applyAlignment="0">
      <protection/>
    </xf>
    <xf numFmtId="0" fontId="17" fillId="0" borderId="0" applyNumberFormat="0" applyBorder="0" applyAlignment="0">
      <protection/>
    </xf>
    <xf numFmtId="0" fontId="18" fillId="0" borderId="0" applyNumberFormat="0" applyBorder="0" applyAlignment="0">
      <protection/>
    </xf>
    <xf numFmtId="0" fontId="19" fillId="0" borderId="0" applyNumberFormat="0" applyBorder="0" applyAlignment="0">
      <protection/>
    </xf>
    <xf numFmtId="0" fontId="7" fillId="0" borderId="0" applyNumberFormat="0" applyBorder="0" applyAlignment="0">
      <protection/>
    </xf>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332">
    <xf numFmtId="0" fontId="0" fillId="0" borderId="0" xfId="0" applyAlignment="1">
      <alignment/>
    </xf>
    <xf numFmtId="0" fontId="2" fillId="0" borderId="0" xfId="0" applyFont="1" applyAlignment="1">
      <alignment/>
    </xf>
    <xf numFmtId="5" fontId="2" fillId="0" borderId="0" xfId="42" applyNumberFormat="1" applyFont="1" applyAlignment="1">
      <alignment horizontal="right"/>
    </xf>
    <xf numFmtId="0" fontId="3" fillId="0" borderId="0" xfId="0" applyFont="1" applyAlignment="1">
      <alignment/>
    </xf>
    <xf numFmtId="5" fontId="3" fillId="0" borderId="0" xfId="42" applyNumberFormat="1" applyFont="1" applyAlignment="1" quotePrefix="1">
      <alignment horizontal="right"/>
    </xf>
    <xf numFmtId="5" fontId="3" fillId="0" borderId="0" xfId="42" applyNumberFormat="1" applyFont="1" applyAlignment="1">
      <alignment horizontal="right"/>
    </xf>
    <xf numFmtId="5" fontId="4" fillId="0" borderId="0" xfId="42" applyNumberFormat="1" applyFont="1" applyAlignment="1" quotePrefix="1">
      <alignment horizontal="right"/>
    </xf>
    <xf numFmtId="0" fontId="4" fillId="0" borderId="0" xfId="0" applyFont="1" applyAlignment="1">
      <alignment/>
    </xf>
    <xf numFmtId="7" fontId="2" fillId="0" borderId="0" xfId="0" applyNumberFormat="1" applyFont="1" applyAlignment="1">
      <alignment/>
    </xf>
    <xf numFmtId="5" fontId="2" fillId="0" borderId="0" xfId="42" applyNumberFormat="1" applyFont="1" applyFill="1" applyAlignment="1">
      <alignment horizontal="right"/>
    </xf>
    <xf numFmtId="42" fontId="2" fillId="0" borderId="0" xfId="49" applyFont="1" applyFill="1" applyAlignment="1">
      <alignment horizontal="right" wrapText="1"/>
    </xf>
    <xf numFmtId="43" fontId="2" fillId="0" borderId="0" xfId="0" applyNumberFormat="1" applyFont="1" applyAlignment="1">
      <alignment/>
    </xf>
    <xf numFmtId="5" fontId="5" fillId="0" borderId="10" xfId="48" applyNumberFormat="1" applyFont="1" applyFill="1" applyBorder="1" applyAlignment="1">
      <alignment horizontal="right"/>
    </xf>
    <xf numFmtId="5" fontId="2" fillId="0" borderId="0" xfId="42" applyNumberFormat="1" applyFont="1" applyFill="1" applyBorder="1" applyAlignment="1">
      <alignment horizontal="right"/>
    </xf>
    <xf numFmtId="7" fontId="5" fillId="0" borderId="0" xfId="49" applyNumberFormat="1" applyFont="1" applyFill="1" applyBorder="1" applyAlignment="1">
      <alignment horizontal="left"/>
    </xf>
    <xf numFmtId="5" fontId="5" fillId="0" borderId="0" xfId="42" applyNumberFormat="1" applyFont="1" applyFill="1" applyBorder="1" applyAlignment="1">
      <alignment horizontal="right"/>
    </xf>
    <xf numFmtId="7" fontId="2" fillId="0" borderId="0" xfId="49" applyNumberFormat="1" applyFont="1" applyFill="1" applyBorder="1" applyAlignment="1">
      <alignment horizontal="right" wrapText="1"/>
    </xf>
    <xf numFmtId="164" fontId="2" fillId="0" borderId="0" xfId="0" applyNumberFormat="1" applyFont="1" applyAlignment="1">
      <alignment/>
    </xf>
    <xf numFmtId="5" fontId="2" fillId="0" borderId="0" xfId="0" applyNumberFormat="1" applyFont="1" applyAlignment="1">
      <alignment/>
    </xf>
    <xf numFmtId="38" fontId="5" fillId="0" borderId="0" xfId="42" applyNumberFormat="1" applyFont="1" applyFill="1" applyBorder="1" applyAlignment="1">
      <alignment horizontal="right"/>
    </xf>
    <xf numFmtId="7" fontId="2" fillId="0" borderId="0" xfId="49" applyNumberFormat="1" applyFont="1" applyFill="1" applyBorder="1" applyAlignment="1">
      <alignment horizontal="left"/>
    </xf>
    <xf numFmtId="7" fontId="6" fillId="0" borderId="0" xfId="49" applyNumberFormat="1" applyFont="1" applyFill="1" applyBorder="1" applyAlignment="1">
      <alignment horizontal="left" wrapText="1"/>
    </xf>
    <xf numFmtId="164" fontId="5" fillId="0" borderId="11" xfId="42" applyNumberFormat="1" applyFont="1" applyFill="1" applyBorder="1" applyAlignment="1">
      <alignment horizontal="right"/>
    </xf>
    <xf numFmtId="7" fontId="5" fillId="0" borderId="0" xfId="49" applyNumberFormat="1" applyFont="1" applyFill="1" applyBorder="1" applyAlignment="1">
      <alignment horizontal="center" wrapText="1"/>
    </xf>
    <xf numFmtId="5" fontId="5" fillId="0" borderId="12" xfId="42" applyNumberFormat="1" applyFont="1" applyFill="1" applyBorder="1" applyAlignment="1">
      <alignment horizontal="right"/>
    </xf>
    <xf numFmtId="164" fontId="5" fillId="0" borderId="0" xfId="42" applyNumberFormat="1" applyFont="1" applyFill="1" applyBorder="1" applyAlignment="1">
      <alignment horizontal="right"/>
    </xf>
    <xf numFmtId="43" fontId="2" fillId="0" borderId="0" xfId="42" applyNumberFormat="1" applyFont="1" applyFill="1" applyBorder="1" applyAlignment="1">
      <alignment horizontal="right"/>
    </xf>
    <xf numFmtId="164" fontId="2" fillId="0" borderId="12" xfId="42" applyNumberFormat="1" applyFont="1" applyFill="1" applyBorder="1" applyAlignment="1">
      <alignment horizontal="right"/>
    </xf>
    <xf numFmtId="164" fontId="2" fillId="0" borderId="0" xfId="42" applyNumberFormat="1" applyFont="1" applyBorder="1" applyAlignment="1">
      <alignment horizontal="right"/>
    </xf>
    <xf numFmtId="38" fontId="2" fillId="0" borderId="0" xfId="0" applyNumberFormat="1" applyFont="1" applyAlignment="1">
      <alignment/>
    </xf>
    <xf numFmtId="164" fontId="2" fillId="0" borderId="0" xfId="42" applyNumberFormat="1" applyFont="1" applyFill="1" applyBorder="1" applyAlignment="1">
      <alignment horizontal="right"/>
    </xf>
    <xf numFmtId="165" fontId="2" fillId="0" borderId="0" xfId="0" applyNumberFormat="1" applyFont="1" applyBorder="1" applyAlignment="1">
      <alignment horizontal="center"/>
    </xf>
    <xf numFmtId="5" fontId="2" fillId="0" borderId="0" xfId="42" applyNumberFormat="1" applyFont="1" applyBorder="1" applyAlignment="1">
      <alignment horizontal="right"/>
    </xf>
    <xf numFmtId="5" fontId="5" fillId="0" borderId="0" xfId="42" applyNumberFormat="1" applyFont="1" applyBorder="1" applyAlignment="1">
      <alignment horizontal="right"/>
    </xf>
    <xf numFmtId="5" fontId="5" fillId="0" borderId="13" xfId="42" applyNumberFormat="1" applyFont="1" applyFill="1" applyBorder="1" applyAlignment="1">
      <alignment horizontal="right"/>
    </xf>
    <xf numFmtId="164" fontId="2" fillId="0" borderId="14" xfId="42" applyNumberFormat="1" applyFont="1" applyFill="1" applyBorder="1" applyAlignment="1">
      <alignment horizontal="right"/>
    </xf>
    <xf numFmtId="164" fontId="5" fillId="0" borderId="14" xfId="42" applyNumberFormat="1" applyFont="1" applyFill="1" applyBorder="1" applyAlignment="1">
      <alignment horizontal="right"/>
    </xf>
    <xf numFmtId="43" fontId="5" fillId="0" borderId="14" xfId="42" applyFont="1" applyFill="1" applyBorder="1" applyAlignment="1">
      <alignment horizontal="right"/>
    </xf>
    <xf numFmtId="5" fontId="2" fillId="0" borderId="14" xfId="42" applyNumberFormat="1" applyFont="1" applyFill="1" applyBorder="1" applyAlignment="1">
      <alignment horizontal="right"/>
    </xf>
    <xf numFmtId="5" fontId="2" fillId="0" borderId="15" xfId="42" applyNumberFormat="1" applyFont="1" applyFill="1" applyBorder="1" applyAlignment="1">
      <alignment horizontal="right"/>
    </xf>
    <xf numFmtId="7" fontId="6" fillId="0" borderId="0" xfId="0" applyNumberFormat="1" applyFont="1" applyFill="1" applyBorder="1" applyAlignment="1">
      <alignment horizontal="left" wrapText="1"/>
    </xf>
    <xf numFmtId="7" fontId="2" fillId="0" borderId="0" xfId="0" applyNumberFormat="1" applyFont="1" applyFill="1" applyBorder="1" applyAlignment="1">
      <alignment/>
    </xf>
    <xf numFmtId="0" fontId="8" fillId="0" borderId="0" xfId="0" applyFont="1" applyAlignment="1">
      <alignment/>
    </xf>
    <xf numFmtId="7" fontId="8" fillId="0" borderId="0" xfId="0" applyNumberFormat="1" applyFont="1" applyFill="1" applyBorder="1" applyAlignment="1" quotePrefix="1">
      <alignment horizontal="center"/>
    </xf>
    <xf numFmtId="0" fontId="70" fillId="0" borderId="0" xfId="0" applyFont="1" applyAlignment="1">
      <alignment horizontal="center"/>
    </xf>
    <xf numFmtId="0" fontId="11" fillId="0" borderId="0" xfId="0" applyFont="1" applyAlignment="1">
      <alignment/>
    </xf>
    <xf numFmtId="0" fontId="2" fillId="0" borderId="0" xfId="0" applyFont="1" applyBorder="1" applyAlignment="1">
      <alignment/>
    </xf>
    <xf numFmtId="164" fontId="2" fillId="0" borderId="0" xfId="42" applyNumberFormat="1" applyFont="1" applyBorder="1" applyAlignment="1">
      <alignment/>
    </xf>
    <xf numFmtId="0" fontId="20" fillId="0" borderId="0" xfId="0" applyFont="1" applyBorder="1" applyAlignment="1">
      <alignment/>
    </xf>
    <xf numFmtId="6" fontId="5" fillId="0" borderId="16" xfId="42" applyNumberFormat="1" applyFont="1" applyBorder="1" applyAlignment="1">
      <alignment/>
    </xf>
    <xf numFmtId="7" fontId="2" fillId="0" borderId="0" xfId="42" applyNumberFormat="1" applyFont="1" applyBorder="1" applyAlignment="1">
      <alignment/>
    </xf>
    <xf numFmtId="7" fontId="5" fillId="0" borderId="0" xfId="0" applyNumberFormat="1" applyFont="1" applyBorder="1" applyAlignment="1">
      <alignment/>
    </xf>
    <xf numFmtId="7" fontId="2" fillId="0" borderId="17" xfId="42" applyNumberFormat="1" applyFont="1" applyBorder="1" applyAlignment="1">
      <alignment/>
    </xf>
    <xf numFmtId="7" fontId="2" fillId="0" borderId="0" xfId="0" applyNumberFormat="1" applyFont="1" applyBorder="1" applyAlignment="1">
      <alignment/>
    </xf>
    <xf numFmtId="164" fontId="2" fillId="0" borderId="0" xfId="0" applyNumberFormat="1" applyFont="1" applyBorder="1" applyAlignment="1">
      <alignment/>
    </xf>
    <xf numFmtId="38" fontId="2" fillId="0" borderId="18" xfId="42" applyNumberFormat="1" applyFont="1" applyBorder="1" applyAlignment="1">
      <alignment/>
    </xf>
    <xf numFmtId="164" fontId="2" fillId="0" borderId="18" xfId="42" applyNumberFormat="1" applyFont="1" applyBorder="1" applyAlignment="1">
      <alignment/>
    </xf>
    <xf numFmtId="38" fontId="2" fillId="0" borderId="12" xfId="42" applyNumberFormat="1" applyFont="1" applyBorder="1" applyAlignment="1">
      <alignment/>
    </xf>
    <xf numFmtId="38" fontId="2" fillId="0" borderId="0" xfId="42" applyNumberFormat="1" applyFont="1" applyBorder="1" applyAlignment="1">
      <alignment/>
    </xf>
    <xf numFmtId="38" fontId="2" fillId="0" borderId="0" xfId="0" applyNumberFormat="1" applyFont="1" applyBorder="1" applyAlignment="1">
      <alignment/>
    </xf>
    <xf numFmtId="7" fontId="6" fillId="0" borderId="0" xfId="0" applyNumberFormat="1" applyFont="1" applyBorder="1" applyAlignment="1">
      <alignment/>
    </xf>
    <xf numFmtId="164" fontId="2" fillId="0" borderId="19" xfId="42" applyNumberFormat="1" applyFont="1" applyBorder="1" applyAlignment="1">
      <alignment/>
    </xf>
    <xf numFmtId="38" fontId="2" fillId="0" borderId="20" xfId="42" applyNumberFormat="1" applyFont="1" applyBorder="1" applyAlignment="1">
      <alignment/>
    </xf>
    <xf numFmtId="164" fontId="2" fillId="0" borderId="17" xfId="42" applyNumberFormat="1" applyFont="1" applyBorder="1" applyAlignment="1">
      <alignment/>
    </xf>
    <xf numFmtId="7" fontId="2" fillId="0" borderId="18" xfId="42" applyNumberFormat="1" applyFont="1" applyBorder="1" applyAlignment="1">
      <alignment/>
    </xf>
    <xf numFmtId="164" fontId="2" fillId="0" borderId="12" xfId="42" applyNumberFormat="1" applyFont="1" applyBorder="1" applyAlignment="1">
      <alignment/>
    </xf>
    <xf numFmtId="5" fontId="5" fillId="0" borderId="18" xfId="42" applyNumberFormat="1" applyFont="1" applyBorder="1" applyAlignment="1">
      <alignment/>
    </xf>
    <xf numFmtId="7" fontId="6" fillId="0" borderId="18" xfId="42" applyNumberFormat="1" applyFont="1" applyBorder="1" applyAlignment="1">
      <alignment/>
    </xf>
    <xf numFmtId="7" fontId="6" fillId="0" borderId="0" xfId="42" applyNumberFormat="1" applyFont="1" applyBorder="1" applyAlignment="1">
      <alignment/>
    </xf>
    <xf numFmtId="7" fontId="6" fillId="0" borderId="21" xfId="42" applyNumberFormat="1" applyFont="1" applyBorder="1" applyAlignment="1">
      <alignment/>
    </xf>
    <xf numFmtId="0" fontId="23" fillId="0" borderId="0" xfId="0" applyFont="1" applyBorder="1" applyAlignment="1">
      <alignment/>
    </xf>
    <xf numFmtId="7" fontId="23" fillId="0" borderId="0" xfId="42" applyNumberFormat="1" applyFont="1" applyBorder="1" applyAlignment="1">
      <alignment horizontal="centerContinuous"/>
    </xf>
    <xf numFmtId="7" fontId="10" fillId="0" borderId="0" xfId="0" applyNumberFormat="1" applyFont="1" applyBorder="1" applyAlignment="1">
      <alignment horizontal="centerContinuous"/>
    </xf>
    <xf numFmtId="0" fontId="12" fillId="0" borderId="0" xfId="0" applyFont="1" applyAlignment="1">
      <alignment/>
    </xf>
    <xf numFmtId="0" fontId="5" fillId="0" borderId="0" xfId="0" applyFont="1" applyBorder="1" applyAlignment="1">
      <alignment/>
    </xf>
    <xf numFmtId="0" fontId="23" fillId="0" borderId="0" xfId="0" applyFont="1" applyFill="1" applyBorder="1" applyAlignment="1">
      <alignment/>
    </xf>
    <xf numFmtId="164" fontId="23" fillId="0" borderId="0" xfId="42" applyNumberFormat="1" applyFont="1" applyFill="1" applyBorder="1" applyAlignment="1">
      <alignment horizontal="right"/>
    </xf>
    <xf numFmtId="164" fontId="23" fillId="0" borderId="0" xfId="42" applyNumberFormat="1" applyFont="1" applyFill="1" applyBorder="1" applyAlignment="1">
      <alignment/>
    </xf>
    <xf numFmtId="164" fontId="23" fillId="0" borderId="0" xfId="0" applyNumberFormat="1" applyFont="1" applyFill="1" applyBorder="1" applyAlignment="1">
      <alignment/>
    </xf>
    <xf numFmtId="0" fontId="2" fillId="0" borderId="0" xfId="0" applyFont="1" applyFill="1" applyBorder="1" applyAlignment="1">
      <alignment/>
    </xf>
    <xf numFmtId="164" fontId="2" fillId="0" borderId="0" xfId="42" applyNumberFormat="1" applyFont="1" applyFill="1" applyBorder="1" applyAlignment="1">
      <alignment/>
    </xf>
    <xf numFmtId="164" fontId="2" fillId="0" borderId="0" xfId="0" applyNumberFormat="1" applyFont="1" applyFill="1" applyBorder="1" applyAlignment="1">
      <alignment/>
    </xf>
    <xf numFmtId="164" fontId="2" fillId="0" borderId="0" xfId="0" applyNumberFormat="1" applyFont="1" applyFill="1" applyBorder="1" applyAlignment="1">
      <alignment horizontal="left" wrapText="1"/>
    </xf>
    <xf numFmtId="0" fontId="2" fillId="0" borderId="0" xfId="0" applyFont="1" applyFill="1" applyBorder="1" applyAlignment="1">
      <alignment horizontal="left" wrapText="1"/>
    </xf>
    <xf numFmtId="43" fontId="2" fillId="0" borderId="0" xfId="0" applyNumberFormat="1" applyFont="1" applyFill="1" applyBorder="1" applyAlignment="1">
      <alignment/>
    </xf>
    <xf numFmtId="6" fontId="5" fillId="0" borderId="10" xfId="42" applyNumberFormat="1" applyFont="1" applyFill="1" applyBorder="1" applyAlignment="1">
      <alignment/>
    </xf>
    <xf numFmtId="43" fontId="5" fillId="0" borderId="0" xfId="0" applyNumberFormat="1" applyFont="1" applyFill="1" applyBorder="1" applyAlignment="1">
      <alignment/>
    </xf>
    <xf numFmtId="164" fontId="5" fillId="0" borderId="10" xfId="42" applyNumberFormat="1" applyFont="1" applyFill="1" applyBorder="1" applyAlignment="1">
      <alignment/>
    </xf>
    <xf numFmtId="164" fontId="2" fillId="0" borderId="11" xfId="42" applyNumberFormat="1" applyFont="1" applyFill="1" applyBorder="1" applyAlignment="1">
      <alignment/>
    </xf>
    <xf numFmtId="164" fontId="2" fillId="0" borderId="0" xfId="42" applyNumberFormat="1" applyFont="1" applyFill="1" applyBorder="1" applyAlignment="1">
      <alignment/>
    </xf>
    <xf numFmtId="164" fontId="5" fillId="0" borderId="0" xfId="42" applyNumberFormat="1" applyFont="1" applyFill="1" applyBorder="1" applyAlignment="1">
      <alignment/>
    </xf>
    <xf numFmtId="5" fontId="2" fillId="0" borderId="0" xfId="0" applyNumberFormat="1" applyFont="1" applyFill="1" applyBorder="1" applyAlignment="1">
      <alignment/>
    </xf>
    <xf numFmtId="164" fontId="6" fillId="0" borderId="0" xfId="42" applyNumberFormat="1" applyFont="1" applyFill="1" applyBorder="1" applyAlignment="1">
      <alignment/>
    </xf>
    <xf numFmtId="43" fontId="6" fillId="0" borderId="0" xfId="0" applyNumberFormat="1" applyFont="1" applyFill="1" applyBorder="1" applyAlignment="1">
      <alignment/>
    </xf>
    <xf numFmtId="164" fontId="5" fillId="0" borderId="11" xfId="42" applyNumberFormat="1" applyFont="1" applyFill="1" applyBorder="1" applyAlignment="1">
      <alignment/>
    </xf>
    <xf numFmtId="43" fontId="2" fillId="0" borderId="0" xfId="0" applyNumberFormat="1" applyFont="1" applyFill="1" applyBorder="1" applyAlignment="1">
      <alignment horizontal="left" wrapText="1"/>
    </xf>
    <xf numFmtId="38" fontId="5" fillId="0" borderId="10" xfId="42" applyNumberFormat="1" applyFont="1" applyFill="1" applyBorder="1" applyAlignment="1">
      <alignment/>
    </xf>
    <xf numFmtId="38" fontId="5" fillId="0" borderId="11" xfId="42" applyNumberFormat="1" applyFont="1" applyFill="1" applyBorder="1" applyAlignment="1">
      <alignment/>
    </xf>
    <xf numFmtId="43" fontId="6" fillId="0" borderId="0" xfId="0" applyNumberFormat="1" applyFont="1" applyFill="1" applyBorder="1" applyAlignment="1">
      <alignment horizontal="left" wrapText="1"/>
    </xf>
    <xf numFmtId="38" fontId="2" fillId="0" borderId="0" xfId="42" applyNumberFormat="1" applyFont="1" applyFill="1" applyBorder="1" applyAlignment="1">
      <alignment/>
    </xf>
    <xf numFmtId="164" fontId="6" fillId="0" borderId="0" xfId="42" applyNumberFormat="1" applyFont="1" applyFill="1" applyBorder="1" applyAlignment="1">
      <alignment wrapText="1"/>
    </xf>
    <xf numFmtId="164" fontId="6" fillId="0" borderId="0" xfId="42" applyNumberFormat="1" applyFont="1" applyFill="1" applyBorder="1" applyAlignment="1">
      <alignment horizontal="left" wrapText="1"/>
    </xf>
    <xf numFmtId="14" fontId="2" fillId="0" borderId="0" xfId="0" applyNumberFormat="1" applyFont="1" applyFill="1" applyBorder="1" applyAlignment="1">
      <alignment/>
    </xf>
    <xf numFmtId="38" fontId="2" fillId="0" borderId="11" xfId="42" applyNumberFormat="1" applyFont="1" applyFill="1" applyBorder="1" applyAlignment="1">
      <alignment/>
    </xf>
    <xf numFmtId="43" fontId="2" fillId="0" borderId="0" xfId="0" applyNumberFormat="1" applyFont="1" applyFill="1" applyBorder="1" applyAlignment="1">
      <alignment horizontal="left"/>
    </xf>
    <xf numFmtId="43" fontId="2" fillId="0" borderId="0" xfId="0" applyNumberFormat="1" applyFont="1" applyFill="1" applyBorder="1" applyAlignment="1">
      <alignment/>
    </xf>
    <xf numFmtId="5" fontId="2" fillId="0" borderId="0" xfId="48" applyNumberFormat="1" applyFont="1" applyFill="1" applyBorder="1" applyAlignment="1">
      <alignment/>
    </xf>
    <xf numFmtId="6" fontId="2" fillId="0" borderId="0" xfId="48" applyNumberFormat="1" applyFont="1" applyFill="1" applyBorder="1" applyAlignment="1">
      <alignment/>
    </xf>
    <xf numFmtId="164" fontId="6" fillId="0" borderId="0" xfId="0" applyNumberFormat="1" applyFont="1" applyFill="1" applyBorder="1" applyAlignment="1">
      <alignment horizontal="left" wrapText="1"/>
    </xf>
    <xf numFmtId="0" fontId="5" fillId="0" borderId="0" xfId="0" applyFont="1" applyFill="1" applyBorder="1" applyAlignment="1">
      <alignment horizontal="left" wrapText="1"/>
    </xf>
    <xf numFmtId="43" fontId="5" fillId="0" borderId="0" xfId="0" applyNumberFormat="1" applyFont="1" applyFill="1" applyBorder="1" applyAlignment="1">
      <alignment horizontal="left" wrapText="1"/>
    </xf>
    <xf numFmtId="0" fontId="24" fillId="0" borderId="0" xfId="0" applyFont="1" applyFill="1" applyBorder="1" applyAlignment="1">
      <alignment/>
    </xf>
    <xf numFmtId="164" fontId="24" fillId="0" borderId="0" xfId="42" applyNumberFormat="1" applyFont="1" applyFill="1" applyBorder="1" applyAlignment="1">
      <alignment horizontal="centerContinuous"/>
    </xf>
    <xf numFmtId="164" fontId="24" fillId="0" borderId="0" xfId="42" applyNumberFormat="1" applyFont="1" applyBorder="1" applyAlignment="1">
      <alignment horizontal="centerContinuous"/>
    </xf>
    <xf numFmtId="164" fontId="12" fillId="0" borderId="0" xfId="42" applyNumberFormat="1" applyFont="1" applyFill="1" applyBorder="1" applyAlignment="1">
      <alignment horizontal="centerContinuous"/>
    </xf>
    <xf numFmtId="164" fontId="12" fillId="0" borderId="0" xfId="0" applyNumberFormat="1" applyFont="1" applyFill="1" applyBorder="1" applyAlignment="1">
      <alignment horizontal="centerContinuous"/>
    </xf>
    <xf numFmtId="43" fontId="12" fillId="0" borderId="0" xfId="0" applyNumberFormat="1" applyFont="1" applyFill="1" applyBorder="1" applyAlignment="1">
      <alignment horizontal="centerContinuous"/>
    </xf>
    <xf numFmtId="0" fontId="25" fillId="0" borderId="0" xfId="0" applyFont="1" applyFill="1" applyBorder="1" applyAlignment="1">
      <alignment/>
    </xf>
    <xf numFmtId="0" fontId="12" fillId="0" borderId="0" xfId="0" applyFont="1" applyAlignment="1">
      <alignment/>
    </xf>
    <xf numFmtId="0" fontId="26" fillId="0" borderId="0" xfId="0" applyFont="1" applyFill="1" applyBorder="1" applyAlignment="1">
      <alignment/>
    </xf>
    <xf numFmtId="43" fontId="5" fillId="0" borderId="11" xfId="42" applyNumberFormat="1" applyFont="1" applyFill="1" applyBorder="1" applyAlignment="1">
      <alignment/>
    </xf>
    <xf numFmtId="43" fontId="5" fillId="0" borderId="11" xfId="42" applyNumberFormat="1" applyFont="1" applyFill="1" applyBorder="1" applyAlignment="1">
      <alignment/>
    </xf>
    <xf numFmtId="164" fontId="24" fillId="0" borderId="0" xfId="42" applyNumberFormat="1" applyFont="1" applyFill="1" applyBorder="1" applyAlignment="1">
      <alignment horizontal="center"/>
    </xf>
    <xf numFmtId="164" fontId="24" fillId="0" borderId="0" xfId="42" applyNumberFormat="1" applyFont="1" applyBorder="1" applyAlignment="1">
      <alignment horizontal="center"/>
    </xf>
    <xf numFmtId="164" fontId="12" fillId="0" borderId="0" xfId="42" applyNumberFormat="1" applyFont="1" applyFill="1" applyBorder="1" applyAlignment="1">
      <alignment horizontal="center"/>
    </xf>
    <xf numFmtId="164" fontId="12" fillId="0" borderId="0" xfId="0" applyNumberFormat="1" applyFont="1" applyFill="1" applyBorder="1" applyAlignment="1">
      <alignment horizontal="center"/>
    </xf>
    <xf numFmtId="43" fontId="12" fillId="0" borderId="0" xfId="0" applyNumberFormat="1" applyFont="1" applyFill="1" applyBorder="1" applyAlignment="1">
      <alignment horizontal="center"/>
    </xf>
    <xf numFmtId="164" fontId="23" fillId="0" borderId="0" xfId="42" applyNumberFormat="1" applyFont="1" applyBorder="1" applyAlignment="1">
      <alignment/>
    </xf>
    <xf numFmtId="43" fontId="23" fillId="0" borderId="0" xfId="42" applyNumberFormat="1" applyFont="1" applyBorder="1" applyAlignment="1">
      <alignment/>
    </xf>
    <xf numFmtId="0" fontId="23" fillId="0" borderId="0" xfId="0" applyFont="1" applyBorder="1" applyAlignment="1">
      <alignment wrapText="1"/>
    </xf>
    <xf numFmtId="43" fontId="2" fillId="0" borderId="0" xfId="42" applyNumberFormat="1" applyFont="1" applyBorder="1" applyAlignment="1">
      <alignment/>
    </xf>
    <xf numFmtId="0" fontId="2" fillId="0" borderId="0" xfId="0" applyFont="1" applyBorder="1" applyAlignment="1">
      <alignment wrapText="1"/>
    </xf>
    <xf numFmtId="0" fontId="2" fillId="0" borderId="0" xfId="0" applyFont="1" applyBorder="1" applyAlignment="1">
      <alignment horizontal="left" wrapText="1"/>
    </xf>
    <xf numFmtId="43" fontId="2" fillId="0" borderId="0" xfId="42" applyNumberFormat="1" applyFont="1" applyBorder="1" applyAlignment="1">
      <alignment horizontal="right"/>
    </xf>
    <xf numFmtId="43" fontId="5" fillId="0" borderId="0" xfId="42" applyNumberFormat="1" applyFont="1" applyBorder="1" applyAlignment="1">
      <alignment horizontal="right"/>
    </xf>
    <xf numFmtId="43" fontId="2" fillId="0" borderId="0" xfId="42" applyNumberFormat="1" applyFont="1" applyBorder="1" applyAlignment="1">
      <alignment horizontal="left"/>
    </xf>
    <xf numFmtId="6" fontId="2" fillId="0" borderId="0" xfId="42" applyNumberFormat="1" applyFont="1" applyBorder="1" applyAlignment="1">
      <alignment horizontal="right"/>
    </xf>
    <xf numFmtId="43" fontId="2" fillId="0" borderId="0" xfId="0" applyNumberFormat="1" applyFont="1" applyBorder="1" applyAlignment="1">
      <alignment/>
    </xf>
    <xf numFmtId="6" fontId="2" fillId="0" borderId="0" xfId="0" applyNumberFormat="1" applyFont="1" applyBorder="1" applyAlignment="1">
      <alignment/>
    </xf>
    <xf numFmtId="6" fontId="5" fillId="0" borderId="17" xfId="42" applyNumberFormat="1" applyFont="1" applyFill="1" applyBorder="1" applyAlignment="1">
      <alignment horizontal="right"/>
    </xf>
    <xf numFmtId="164" fontId="2" fillId="0" borderId="12" xfId="42" applyNumberFormat="1" applyFont="1" applyBorder="1" applyAlignment="1">
      <alignment horizontal="right"/>
    </xf>
    <xf numFmtId="164" fontId="2" fillId="0" borderId="22" xfId="42" applyNumberFormat="1" applyFont="1" applyBorder="1" applyAlignment="1">
      <alignment horizontal="right"/>
    </xf>
    <xf numFmtId="43" fontId="5" fillId="0" borderId="22" xfId="0" applyNumberFormat="1" applyFont="1" applyBorder="1" applyAlignment="1">
      <alignment horizontal="center" wrapText="1"/>
    </xf>
    <xf numFmtId="164" fontId="2" fillId="0" borderId="23" xfId="42" applyNumberFormat="1" applyFont="1" applyFill="1" applyBorder="1" applyAlignment="1">
      <alignment horizontal="right"/>
    </xf>
    <xf numFmtId="164" fontId="2" fillId="0" borderId="24" xfId="42" applyNumberFormat="1" applyFont="1" applyBorder="1" applyAlignment="1">
      <alignment horizontal="right"/>
    </xf>
    <xf numFmtId="43" fontId="2" fillId="0" borderId="24" xfId="0" applyNumberFormat="1" applyFont="1" applyBorder="1" applyAlignment="1">
      <alignment horizontal="left" wrapText="1"/>
    </xf>
    <xf numFmtId="164" fontId="2" fillId="0" borderId="17" xfId="42" applyNumberFormat="1" applyFont="1" applyFill="1" applyBorder="1" applyAlignment="1">
      <alignment horizontal="right"/>
    </xf>
    <xf numFmtId="43" fontId="5" fillId="0" borderId="24" xfId="0" applyNumberFormat="1" applyFont="1" applyBorder="1" applyAlignment="1">
      <alignment horizontal="center" wrapText="1"/>
    </xf>
    <xf numFmtId="38" fontId="2" fillId="0" borderId="17" xfId="42" applyNumberFormat="1" applyFont="1" applyFill="1" applyBorder="1" applyAlignment="1">
      <alignment horizontal="right"/>
    </xf>
    <xf numFmtId="164" fontId="2" fillId="0" borderId="18" xfId="42" applyNumberFormat="1" applyFont="1" applyFill="1" applyBorder="1" applyAlignment="1">
      <alignment horizontal="right"/>
    </xf>
    <xf numFmtId="38" fontId="2" fillId="0" borderId="12" xfId="42" applyNumberFormat="1" applyFont="1" applyBorder="1" applyAlignment="1">
      <alignment horizontal="right"/>
    </xf>
    <xf numFmtId="6" fontId="5" fillId="0" borderId="18" xfId="42" applyNumberFormat="1" applyFont="1" applyFill="1" applyBorder="1" applyAlignment="1">
      <alignment horizontal="right"/>
    </xf>
    <xf numFmtId="37" fontId="2" fillId="0" borderId="0" xfId="0" applyNumberFormat="1" applyFont="1" applyBorder="1" applyAlignment="1">
      <alignment/>
    </xf>
    <xf numFmtId="164" fontId="5" fillId="0" borderId="0" xfId="42" applyNumberFormat="1" applyFont="1" applyBorder="1" applyAlignment="1">
      <alignment/>
    </xf>
    <xf numFmtId="164" fontId="5" fillId="0" borderId="0" xfId="42" applyNumberFormat="1" applyFont="1" applyBorder="1" applyAlignment="1">
      <alignment horizontal="right"/>
    </xf>
    <xf numFmtId="164" fontId="28" fillId="0" borderId="24" xfId="42" applyNumberFormat="1" applyFont="1" applyBorder="1" applyAlignment="1">
      <alignment horizontal="right"/>
    </xf>
    <xf numFmtId="5" fontId="5" fillId="0" borderId="17" xfId="42" applyNumberFormat="1" applyFont="1" applyFill="1" applyBorder="1" applyAlignment="1">
      <alignment horizontal="right"/>
    </xf>
    <xf numFmtId="43" fontId="5" fillId="0" borderId="25" xfId="42" applyNumberFormat="1" applyFont="1" applyBorder="1" applyAlignment="1">
      <alignment horizontal="centerContinuous"/>
    </xf>
    <xf numFmtId="43" fontId="5" fillId="0" borderId="26" xfId="42" applyNumberFormat="1" applyFont="1" applyBorder="1" applyAlignment="1">
      <alignment horizontal="centerContinuous"/>
    </xf>
    <xf numFmtId="43" fontId="2" fillId="0" borderId="26" xfId="0" applyNumberFormat="1" applyFont="1" applyBorder="1" applyAlignment="1">
      <alignment horizontal="center" wrapText="1"/>
    </xf>
    <xf numFmtId="43" fontId="2" fillId="0" borderId="24" xfId="0" applyNumberFormat="1" applyFont="1" applyBorder="1" applyAlignment="1">
      <alignment horizontal="center" wrapText="1"/>
    </xf>
    <xf numFmtId="43" fontId="2" fillId="0" borderId="18" xfId="42" applyNumberFormat="1" applyFont="1" applyBorder="1" applyAlignment="1">
      <alignment horizontal="centerContinuous"/>
    </xf>
    <xf numFmtId="43" fontId="2" fillId="0" borderId="0" xfId="42" applyNumberFormat="1" applyFont="1" applyBorder="1" applyAlignment="1">
      <alignment horizontal="centerContinuous"/>
    </xf>
    <xf numFmtId="43" fontId="2" fillId="0" borderId="24" xfId="0" applyNumberFormat="1" applyFont="1" applyBorder="1" applyAlignment="1" quotePrefix="1">
      <alignment wrapText="1"/>
    </xf>
    <xf numFmtId="0" fontId="25" fillId="0" borderId="0" xfId="0" applyFont="1" applyBorder="1" applyAlignment="1">
      <alignment/>
    </xf>
    <xf numFmtId="164" fontId="25" fillId="0" borderId="0" xfId="42" applyNumberFormat="1" applyFont="1" applyBorder="1" applyAlignment="1">
      <alignment/>
    </xf>
    <xf numFmtId="43" fontId="12" fillId="0" borderId="24" xfId="0" applyNumberFormat="1" applyFont="1" applyBorder="1" applyAlignment="1">
      <alignment horizontal="centerContinuous"/>
    </xf>
    <xf numFmtId="0" fontId="29" fillId="0" borderId="0" xfId="0" applyFont="1" applyBorder="1" applyAlignment="1">
      <alignment/>
    </xf>
    <xf numFmtId="164" fontId="29" fillId="0" borderId="0" xfId="42" applyNumberFormat="1" applyFont="1" applyBorder="1" applyAlignment="1">
      <alignment/>
    </xf>
    <xf numFmtId="0" fontId="25" fillId="0" borderId="0" xfId="0" applyFont="1" applyAlignment="1">
      <alignment/>
    </xf>
    <xf numFmtId="164" fontId="25" fillId="0" borderId="0" xfId="42" applyNumberFormat="1" applyFont="1" applyAlignment="1">
      <alignment/>
    </xf>
    <xf numFmtId="164" fontId="2" fillId="0" borderId="0" xfId="42" applyNumberFormat="1" applyFont="1" applyAlignment="1">
      <alignment/>
    </xf>
    <xf numFmtId="5" fontId="5" fillId="0" borderId="10" xfId="42" applyNumberFormat="1" applyFont="1" applyFill="1" applyBorder="1" applyAlignment="1">
      <alignment horizontal="right"/>
    </xf>
    <xf numFmtId="164" fontId="5" fillId="0" borderId="10" xfId="42" applyNumberFormat="1" applyFont="1" applyBorder="1" applyAlignment="1">
      <alignment/>
    </xf>
    <xf numFmtId="6" fontId="5" fillId="0" borderId="10" xfId="42" applyNumberFormat="1" applyFont="1" applyFill="1" applyBorder="1" applyAlignment="1">
      <alignment horizontal="right"/>
    </xf>
    <xf numFmtId="164" fontId="5" fillId="0" borderId="10" xfId="42" applyNumberFormat="1" applyFont="1" applyFill="1" applyBorder="1" applyAlignment="1">
      <alignment horizontal="right"/>
    </xf>
    <xf numFmtId="7" fontId="5" fillId="0" borderId="0" xfId="0" applyNumberFormat="1" applyFont="1" applyFill="1" applyAlignment="1">
      <alignment horizontal="center"/>
    </xf>
    <xf numFmtId="164" fontId="5" fillId="0" borderId="0" xfId="42" applyNumberFormat="1" applyFont="1" applyAlignment="1">
      <alignment/>
    </xf>
    <xf numFmtId="7" fontId="2" fillId="0" borderId="0" xfId="0" applyNumberFormat="1" applyFont="1" applyFill="1" applyBorder="1" applyAlignment="1">
      <alignment horizontal="left"/>
    </xf>
    <xf numFmtId="38" fontId="2" fillId="0" borderId="0" xfId="42" applyNumberFormat="1" applyFont="1" applyFill="1" applyAlignment="1">
      <alignment horizontal="right"/>
    </xf>
    <xf numFmtId="164" fontId="2" fillId="0" borderId="0" xfId="42" applyNumberFormat="1" applyFont="1" applyFill="1" applyAlignment="1">
      <alignment horizontal="right"/>
    </xf>
    <xf numFmtId="7" fontId="2" fillId="0" borderId="0" xfId="0" applyNumberFormat="1" applyFont="1" applyFill="1" applyAlignment="1">
      <alignment/>
    </xf>
    <xf numFmtId="7" fontId="5" fillId="0" borderId="0" xfId="0" applyNumberFormat="1" applyFont="1" applyFill="1" applyAlignment="1">
      <alignment horizontal="center" wrapText="1"/>
    </xf>
    <xf numFmtId="38" fontId="30" fillId="0" borderId="0" xfId="0" applyNumberFormat="1" applyFont="1" applyAlignment="1">
      <alignment/>
    </xf>
    <xf numFmtId="164" fontId="30" fillId="0" borderId="0" xfId="42" applyNumberFormat="1" applyFont="1" applyAlignment="1">
      <alignment/>
    </xf>
    <xf numFmtId="7" fontId="30" fillId="0" borderId="0" xfId="0" applyNumberFormat="1" applyFont="1" applyFill="1" applyAlignment="1">
      <alignment/>
    </xf>
    <xf numFmtId="164" fontId="5" fillId="0" borderId="10" xfId="42" applyNumberFormat="1" applyFont="1" applyBorder="1" applyAlignment="1">
      <alignment horizontal="right"/>
    </xf>
    <xf numFmtId="164" fontId="5" fillId="0" borderId="11" xfId="42" applyNumberFormat="1" applyFont="1" applyBorder="1" applyAlignment="1">
      <alignment/>
    </xf>
    <xf numFmtId="164" fontId="2" fillId="0" borderId="11" xfId="42" applyNumberFormat="1" applyFont="1" applyFill="1" applyBorder="1" applyAlignment="1">
      <alignment horizontal="right"/>
    </xf>
    <xf numFmtId="164" fontId="30" fillId="0" borderId="0" xfId="42" applyNumberFormat="1" applyFont="1" applyFill="1" applyAlignment="1">
      <alignment horizontal="right"/>
    </xf>
    <xf numFmtId="164" fontId="5" fillId="0" borderId="10" xfId="42" applyNumberFormat="1" applyFont="1" applyBorder="1" applyAlignment="1">
      <alignment/>
    </xf>
    <xf numFmtId="43" fontId="5" fillId="0" borderId="11" xfId="42" applyNumberFormat="1" applyFont="1" applyBorder="1" applyAlignment="1">
      <alignment/>
    </xf>
    <xf numFmtId="164" fontId="14" fillId="0" borderId="0" xfId="42" applyNumberFormat="1" applyFont="1" applyFill="1" applyBorder="1" applyAlignment="1">
      <alignment horizontal="right"/>
    </xf>
    <xf numFmtId="43" fontId="5" fillId="0" borderId="0" xfId="42" applyNumberFormat="1" applyFont="1" applyAlignment="1">
      <alignment/>
    </xf>
    <xf numFmtId="38" fontId="2" fillId="0" borderId="11" xfId="42" applyNumberFormat="1" applyFont="1" applyFill="1" applyBorder="1" applyAlignment="1">
      <alignment horizontal="right"/>
    </xf>
    <xf numFmtId="38" fontId="2" fillId="0" borderId="0" xfId="42" applyNumberFormat="1" applyFont="1" applyAlignment="1">
      <alignment/>
    </xf>
    <xf numFmtId="164" fontId="2" fillId="0" borderId="0" xfId="42" applyNumberFormat="1" applyFont="1" applyAlignment="1">
      <alignment/>
    </xf>
    <xf numFmtId="0" fontId="5" fillId="0" borderId="0" xfId="0" applyFont="1" applyAlignment="1">
      <alignment horizontal="left" wrapText="1"/>
    </xf>
    <xf numFmtId="6" fontId="2" fillId="0" borderId="0" xfId="42" applyNumberFormat="1" applyFont="1" applyFill="1" applyBorder="1" applyAlignment="1">
      <alignment horizontal="right"/>
    </xf>
    <xf numFmtId="7" fontId="2" fillId="0" borderId="0" xfId="42" applyNumberFormat="1" applyFont="1" applyFill="1" applyAlignment="1">
      <alignment/>
    </xf>
    <xf numFmtId="7" fontId="5" fillId="0" borderId="0" xfId="0" applyNumberFormat="1" applyFont="1" applyFill="1" applyAlignment="1">
      <alignment horizontal="left" wrapText="1"/>
    </xf>
    <xf numFmtId="7" fontId="25" fillId="0" borderId="0" xfId="42" applyNumberFormat="1" applyFont="1" applyFill="1" applyAlignment="1">
      <alignment horizontal="centerContinuous"/>
    </xf>
    <xf numFmtId="7" fontId="25" fillId="0" borderId="0" xfId="0" applyNumberFormat="1" applyFont="1" applyFill="1" applyAlignment="1">
      <alignment horizontal="centerContinuous"/>
    </xf>
    <xf numFmtId="7" fontId="25" fillId="0" borderId="0" xfId="42" applyNumberFormat="1" applyFont="1" applyAlignment="1">
      <alignment horizontal="centerContinuous"/>
    </xf>
    <xf numFmtId="7" fontId="10" fillId="0" borderId="0" xfId="42" applyNumberFormat="1" applyFont="1" applyFill="1" applyAlignment="1">
      <alignment horizontal="centerContinuous"/>
    </xf>
    <xf numFmtId="7" fontId="10" fillId="0" borderId="0" xfId="0" applyNumberFormat="1" applyFont="1" applyFill="1" applyAlignment="1">
      <alignment horizontal="centerContinuous"/>
    </xf>
    <xf numFmtId="0" fontId="31" fillId="0" borderId="0" xfId="0" applyFont="1" applyAlignment="1">
      <alignment/>
    </xf>
    <xf numFmtId="7" fontId="2" fillId="0" borderId="0" xfId="42" applyNumberFormat="1" applyFont="1" applyAlignment="1">
      <alignment horizontal="centerContinuous"/>
    </xf>
    <xf numFmtId="7" fontId="23" fillId="0" borderId="0" xfId="42" applyNumberFormat="1" applyFont="1" applyAlignment="1">
      <alignment horizontal="centerContinuous"/>
    </xf>
    <xf numFmtId="7" fontId="12" fillId="0" borderId="0" xfId="0" applyNumberFormat="1" applyFont="1" applyFill="1" applyAlignment="1">
      <alignment horizontal="centerContinuous"/>
    </xf>
    <xf numFmtId="0" fontId="32" fillId="0" borderId="0" xfId="0" applyFont="1" applyAlignment="1">
      <alignment/>
    </xf>
    <xf numFmtId="7" fontId="32" fillId="0" borderId="0" xfId="42" applyNumberFormat="1" applyFont="1" applyAlignment="1">
      <alignment horizontal="centerContinuous"/>
    </xf>
    <xf numFmtId="7" fontId="27" fillId="0" borderId="0" xfId="42" applyNumberFormat="1" applyFont="1" applyFill="1" applyAlignment="1">
      <alignment horizontal="centerContinuous"/>
    </xf>
    <xf numFmtId="7" fontId="27" fillId="0" borderId="0" xfId="0" applyNumberFormat="1" applyFont="1" applyFill="1" applyAlignment="1">
      <alignment horizontal="centerContinuous"/>
    </xf>
    <xf numFmtId="0" fontId="20" fillId="0" borderId="0" xfId="0" applyFont="1" applyAlignment="1">
      <alignment/>
    </xf>
    <xf numFmtId="5" fontId="20" fillId="0" borderId="0" xfId="0" applyNumberFormat="1" applyFont="1" applyBorder="1" applyAlignment="1">
      <alignment horizontal="center"/>
    </xf>
    <xf numFmtId="0" fontId="33" fillId="0" borderId="0" xfId="0" applyFont="1" applyAlignment="1">
      <alignment horizontal="right"/>
    </xf>
    <xf numFmtId="5" fontId="20" fillId="0" borderId="0" xfId="0" applyNumberFormat="1" applyFont="1" applyBorder="1" applyAlignment="1">
      <alignment/>
    </xf>
    <xf numFmtId="38" fontId="25" fillId="0" borderId="0" xfId="0" applyNumberFormat="1" applyFont="1" applyAlignment="1">
      <alignment/>
    </xf>
    <xf numFmtId="5" fontId="20" fillId="0" borderId="0" xfId="0" applyNumberFormat="1" applyFont="1" applyAlignment="1">
      <alignment horizontal="center"/>
    </xf>
    <xf numFmtId="38" fontId="33" fillId="0" borderId="0" xfId="0" applyNumberFormat="1" applyFont="1" applyAlignment="1">
      <alignment horizontal="right"/>
    </xf>
    <xf numFmtId="38" fontId="20" fillId="0" borderId="0" xfId="0" applyNumberFormat="1" applyFont="1" applyAlignment="1">
      <alignment horizontal="right"/>
    </xf>
    <xf numFmtId="5" fontId="33" fillId="0" borderId="0" xfId="0" applyNumberFormat="1" applyFont="1" applyAlignment="1">
      <alignment horizontal="left"/>
    </xf>
    <xf numFmtId="38" fontId="20" fillId="0" borderId="0" xfId="0" applyNumberFormat="1" applyFont="1" applyAlignment="1">
      <alignment/>
    </xf>
    <xf numFmtId="0" fontId="34" fillId="0" borderId="0" xfId="0" applyFont="1" applyAlignment="1">
      <alignment horizontal="center"/>
    </xf>
    <xf numFmtId="0" fontId="34" fillId="0" borderId="0" xfId="0" applyFont="1" applyAlignment="1">
      <alignment horizontal="right"/>
    </xf>
    <xf numFmtId="0" fontId="34" fillId="0" borderId="0" xfId="0" applyFont="1" applyBorder="1" applyAlignment="1">
      <alignment horizontal="right"/>
    </xf>
    <xf numFmtId="0" fontId="20" fillId="0" borderId="0" xfId="0" applyFont="1" applyAlignment="1">
      <alignment horizontal="center"/>
    </xf>
    <xf numFmtId="43" fontId="5" fillId="0" borderId="0" xfId="42" applyFont="1" applyFill="1" applyBorder="1" applyAlignment="1">
      <alignment horizontal="right"/>
    </xf>
    <xf numFmtId="38" fontId="2" fillId="0" borderId="0" xfId="42" applyNumberFormat="1" applyFont="1" applyFill="1" applyBorder="1" applyAlignment="1">
      <alignment horizontal="right"/>
    </xf>
    <xf numFmtId="164" fontId="2" fillId="33" borderId="0" xfId="42" applyNumberFormat="1" applyFont="1" applyFill="1" applyAlignment="1">
      <alignment horizontal="right"/>
    </xf>
    <xf numFmtId="166" fontId="2" fillId="0" borderId="0" xfId="42" applyNumberFormat="1" applyFont="1" applyBorder="1" applyAlignment="1">
      <alignment/>
    </xf>
    <xf numFmtId="166" fontId="25" fillId="0" borderId="0" xfId="42" applyNumberFormat="1" applyFont="1" applyAlignment="1">
      <alignment/>
    </xf>
    <xf numFmtId="43" fontId="5" fillId="0" borderId="0" xfId="0" applyNumberFormat="1" applyFont="1" applyBorder="1" applyAlignment="1">
      <alignment horizontal="left"/>
    </xf>
    <xf numFmtId="166" fontId="10" fillId="0" borderId="0" xfId="42" applyNumberFormat="1" applyFont="1" applyAlignment="1">
      <alignment horizontal="left"/>
    </xf>
    <xf numFmtId="166" fontId="2" fillId="0" borderId="0" xfId="42" applyNumberFormat="1" applyFont="1" applyAlignment="1">
      <alignment/>
    </xf>
    <xf numFmtId="43" fontId="20" fillId="0" borderId="0" xfId="0" applyNumberFormat="1" applyFont="1" applyBorder="1" applyAlignment="1">
      <alignment/>
    </xf>
    <xf numFmtId="5" fontId="20" fillId="0" borderId="0" xfId="42" applyNumberFormat="1" applyFont="1" applyBorder="1" applyAlignment="1">
      <alignment/>
    </xf>
    <xf numFmtId="166" fontId="20" fillId="0" borderId="0" xfId="42" applyNumberFormat="1" applyFont="1" applyBorder="1" applyAlignment="1">
      <alignment/>
    </xf>
    <xf numFmtId="166" fontId="20" fillId="0" borderId="0" xfId="42" applyNumberFormat="1" applyFont="1" applyAlignment="1">
      <alignment/>
    </xf>
    <xf numFmtId="166" fontId="20" fillId="0" borderId="0" xfId="42" applyNumberFormat="1" applyFont="1" applyAlignment="1">
      <alignment horizontal="left"/>
    </xf>
    <xf numFmtId="166" fontId="2" fillId="0" borderId="0" xfId="42" applyNumberFormat="1" applyFont="1" applyAlignment="1">
      <alignment/>
    </xf>
    <xf numFmtId="6" fontId="5" fillId="0" borderId="10" xfId="42" applyNumberFormat="1" applyFont="1" applyBorder="1" applyAlignment="1">
      <alignment/>
    </xf>
    <xf numFmtId="166" fontId="5" fillId="0" borderId="0" xfId="42" applyNumberFormat="1" applyFont="1" applyAlignment="1">
      <alignment horizontal="center"/>
    </xf>
    <xf numFmtId="166" fontId="2" fillId="0" borderId="0" xfId="42" applyNumberFormat="1" applyFont="1" applyAlignment="1">
      <alignment horizontal="left"/>
    </xf>
    <xf numFmtId="164" fontId="2" fillId="0" borderId="0" xfId="42" applyNumberFormat="1" applyFont="1" applyFill="1" applyAlignment="1">
      <alignment/>
    </xf>
    <xf numFmtId="166" fontId="5" fillId="0" borderId="0" xfId="42" applyNumberFormat="1" applyFont="1" applyAlignment="1">
      <alignment horizontal="left"/>
    </xf>
    <xf numFmtId="43" fontId="30" fillId="0" borderId="0" xfId="0" applyNumberFormat="1" applyFont="1" applyBorder="1" applyAlignment="1">
      <alignment/>
    </xf>
    <xf numFmtId="164" fontId="30" fillId="0" borderId="0" xfId="42" applyNumberFormat="1" applyFont="1" applyFill="1" applyAlignment="1">
      <alignment/>
    </xf>
    <xf numFmtId="164" fontId="2" fillId="0" borderId="11" xfId="42" applyNumberFormat="1" applyFont="1" applyBorder="1" applyAlignment="1">
      <alignment/>
    </xf>
    <xf numFmtId="38" fontId="2" fillId="0" borderId="0" xfId="42" applyNumberFormat="1" applyFont="1" applyFill="1" applyAlignment="1">
      <alignment/>
    </xf>
    <xf numFmtId="164" fontId="2" fillId="0" borderId="0" xfId="42" applyNumberFormat="1" applyFont="1" applyBorder="1" applyAlignment="1">
      <alignment/>
    </xf>
    <xf numFmtId="164" fontId="5" fillId="0" borderId="10" xfId="42" applyNumberFormat="1" applyFont="1" applyBorder="1" applyAlignment="1">
      <alignment horizontal="center"/>
    </xf>
    <xf numFmtId="38" fontId="2" fillId="0" borderId="11" xfId="42" applyNumberFormat="1" applyFont="1" applyFill="1" applyBorder="1" applyAlignment="1">
      <alignment/>
    </xf>
    <xf numFmtId="166" fontId="2" fillId="0" borderId="0" xfId="42" applyNumberFormat="1" applyFont="1" applyFill="1" applyAlignment="1">
      <alignment/>
    </xf>
    <xf numFmtId="43" fontId="24" fillId="0" borderId="0" xfId="0" applyNumberFormat="1" applyFont="1" applyBorder="1" applyAlignment="1">
      <alignment/>
    </xf>
    <xf numFmtId="166" fontId="25" fillId="0" borderId="0" xfId="42" applyNumberFormat="1" applyFont="1" applyAlignment="1">
      <alignment horizontal="centerContinuous"/>
    </xf>
    <xf numFmtId="166" fontId="5" fillId="0" borderId="0" xfId="42" applyNumberFormat="1" applyFont="1" applyFill="1" applyAlignment="1">
      <alignment horizontal="centerContinuous"/>
    </xf>
    <xf numFmtId="43" fontId="10" fillId="0" borderId="0" xfId="0" applyNumberFormat="1" applyFont="1" applyBorder="1" applyAlignment="1">
      <alignment/>
    </xf>
    <xf numFmtId="43" fontId="25" fillId="0" borderId="0" xfId="0" applyNumberFormat="1" applyFont="1" applyBorder="1" applyAlignment="1">
      <alignment/>
    </xf>
    <xf numFmtId="43" fontId="35" fillId="0" borderId="0" xfId="0" applyNumberFormat="1" applyFont="1" applyBorder="1" applyAlignment="1">
      <alignment/>
    </xf>
    <xf numFmtId="0" fontId="2" fillId="0" borderId="0" xfId="0" applyFont="1" applyBorder="1" applyAlignment="1">
      <alignment horizontal="right"/>
    </xf>
    <xf numFmtId="164" fontId="2" fillId="0" borderId="0" xfId="0" applyNumberFormat="1" applyFont="1" applyBorder="1" applyAlignment="1">
      <alignment horizontal="right"/>
    </xf>
    <xf numFmtId="6" fontId="5" fillId="0" borderId="10" xfId="42" applyNumberFormat="1" applyFont="1" applyBorder="1" applyAlignment="1">
      <alignment horizontal="right"/>
    </xf>
    <xf numFmtId="38" fontId="2" fillId="0" borderId="0" xfId="0" applyNumberFormat="1" applyFont="1" applyBorder="1" applyAlignment="1">
      <alignment horizontal="right"/>
    </xf>
    <xf numFmtId="38" fontId="2" fillId="0" borderId="0" xfId="42" applyNumberFormat="1" applyFont="1" applyBorder="1" applyAlignment="1">
      <alignment horizontal="right"/>
    </xf>
    <xf numFmtId="38" fontId="5" fillId="0" borderId="0" xfId="0" applyNumberFormat="1" applyFont="1" applyBorder="1" applyAlignment="1">
      <alignment horizontal="center" wrapText="1"/>
    </xf>
    <xf numFmtId="38" fontId="30" fillId="0" borderId="0" xfId="0" applyNumberFormat="1" applyFont="1" applyBorder="1" applyAlignment="1">
      <alignment/>
    </xf>
    <xf numFmtId="38" fontId="30" fillId="0" borderId="0" xfId="0" applyNumberFormat="1" applyFont="1" applyBorder="1" applyAlignment="1">
      <alignment horizontal="right"/>
    </xf>
    <xf numFmtId="164" fontId="30" fillId="0" borderId="0" xfId="42" applyNumberFormat="1" applyFont="1" applyBorder="1" applyAlignment="1">
      <alignment horizontal="right"/>
    </xf>
    <xf numFmtId="38" fontId="2" fillId="0" borderId="11" xfId="42" applyNumberFormat="1" applyFont="1" applyBorder="1" applyAlignment="1">
      <alignment horizontal="right"/>
    </xf>
    <xf numFmtId="164" fontId="2" fillId="0" borderId="11" xfId="42" applyNumberFormat="1" applyFont="1" applyBorder="1" applyAlignment="1">
      <alignment horizontal="right"/>
    </xf>
    <xf numFmtId="38" fontId="5" fillId="0" borderId="0" xfId="0" applyNumberFormat="1" applyFont="1" applyBorder="1" applyAlignment="1">
      <alignment/>
    </xf>
    <xf numFmtId="164" fontId="28" fillId="0" borderId="0" xfId="42" applyNumberFormat="1" applyFont="1" applyBorder="1" applyAlignment="1">
      <alignment horizontal="right"/>
    </xf>
    <xf numFmtId="164" fontId="36" fillId="0" borderId="0" xfId="42" applyNumberFormat="1" applyFont="1" applyBorder="1" applyAlignment="1">
      <alignment horizontal="right"/>
    </xf>
    <xf numFmtId="164" fontId="5" fillId="0" borderId="11" xfId="42" applyNumberFormat="1" applyFont="1" applyBorder="1" applyAlignment="1">
      <alignment horizontal="right"/>
    </xf>
    <xf numFmtId="5" fontId="2" fillId="0" borderId="0" xfId="48" applyNumberFormat="1" applyFont="1" applyBorder="1" applyAlignment="1">
      <alignment horizontal="right"/>
    </xf>
    <xf numFmtId="164" fontId="2" fillId="0" borderId="0" xfId="42" applyNumberFormat="1" applyFont="1" applyBorder="1" applyAlignment="1">
      <alignment horizontal="left" wrapText="1"/>
    </xf>
    <xf numFmtId="164" fontId="2" fillId="0" borderId="0" xfId="42" applyNumberFormat="1" applyFont="1" applyFill="1" applyAlignment="1">
      <alignment/>
    </xf>
    <xf numFmtId="0" fontId="5" fillId="0" borderId="0" xfId="0" applyFont="1" applyBorder="1" applyAlignment="1">
      <alignment horizontal="center" wrapText="1"/>
    </xf>
    <xf numFmtId="164" fontId="2" fillId="0" borderId="0" xfId="42" applyNumberFormat="1" applyFont="1" applyBorder="1" applyAlignment="1">
      <alignment horizontal="centerContinuous"/>
    </xf>
    <xf numFmtId="0" fontId="2" fillId="0" borderId="0" xfId="0" applyFont="1" applyBorder="1" applyAlignment="1">
      <alignment horizontal="centerContinuous"/>
    </xf>
    <xf numFmtId="164" fontId="25" fillId="0" borderId="0" xfId="42" applyNumberFormat="1" applyFont="1" applyBorder="1" applyAlignment="1">
      <alignment horizontal="centerContinuous"/>
    </xf>
    <xf numFmtId="164" fontId="10" fillId="0" borderId="0" xfId="42" applyNumberFormat="1" applyFont="1" applyBorder="1" applyAlignment="1">
      <alignment horizontal="centerContinuous"/>
    </xf>
    <xf numFmtId="164" fontId="10" fillId="0" borderId="0" xfId="42" applyNumberFormat="1" applyFont="1" applyFill="1" applyAlignment="1">
      <alignment horizontal="centerContinuous"/>
    </xf>
    <xf numFmtId="0" fontId="10" fillId="0" borderId="0" xfId="0" applyFont="1" applyBorder="1" applyAlignment="1">
      <alignment horizontal="centerContinuous"/>
    </xf>
    <xf numFmtId="164" fontId="12" fillId="0" borderId="0" xfId="42" applyNumberFormat="1" applyFont="1" applyFill="1" applyAlignment="1">
      <alignment horizontal="centerContinuous"/>
    </xf>
    <xf numFmtId="0" fontId="12" fillId="0" borderId="0" xfId="0" applyFont="1" applyFill="1" applyBorder="1" applyAlignment="1">
      <alignment horizontal="centerContinuous"/>
    </xf>
    <xf numFmtId="0" fontId="32" fillId="0" borderId="0" xfId="0" applyFont="1" applyBorder="1" applyAlignment="1">
      <alignment/>
    </xf>
    <xf numFmtId="164" fontId="32" fillId="0" borderId="0" xfId="42" applyNumberFormat="1" applyFont="1" applyBorder="1" applyAlignment="1">
      <alignment/>
    </xf>
    <xf numFmtId="164" fontId="32" fillId="0" borderId="0" xfId="42" applyNumberFormat="1" applyFont="1" applyBorder="1" applyAlignment="1">
      <alignment horizontal="centerContinuous"/>
    </xf>
    <xf numFmtId="164" fontId="27" fillId="0" borderId="0" xfId="42" applyNumberFormat="1" applyFont="1" applyBorder="1" applyAlignment="1">
      <alignment horizontal="centerContinuous"/>
    </xf>
    <xf numFmtId="164" fontId="27" fillId="0" borderId="0" xfId="42" applyNumberFormat="1" applyFont="1" applyFill="1" applyAlignment="1">
      <alignment horizontal="centerContinuous"/>
    </xf>
    <xf numFmtId="0" fontId="27" fillId="0" borderId="0" xfId="0" applyFont="1" applyBorder="1" applyAlignment="1">
      <alignment horizontal="centerContinuous"/>
    </xf>
    <xf numFmtId="7" fontId="13" fillId="0" borderId="0" xfId="0" applyNumberFormat="1" applyFont="1" applyFill="1" applyBorder="1" applyAlignment="1">
      <alignment horizontal="center"/>
    </xf>
    <xf numFmtId="7" fontId="10" fillId="0" borderId="0" xfId="0" applyNumberFormat="1" applyFont="1" applyFill="1" applyBorder="1" applyAlignment="1">
      <alignment horizontal="center"/>
    </xf>
    <xf numFmtId="7" fontId="10" fillId="0" borderId="0" xfId="0" applyNumberFormat="1" applyFont="1" applyFill="1" applyBorder="1" applyAlignment="1" quotePrefix="1">
      <alignment horizontal="center"/>
    </xf>
    <xf numFmtId="7" fontId="12" fillId="0" borderId="0" xfId="0" applyNumberFormat="1" applyFont="1" applyFill="1" applyBorder="1" applyAlignment="1">
      <alignment horizontal="center"/>
    </xf>
    <xf numFmtId="7" fontId="10" fillId="0" borderId="0" xfId="0" applyNumberFormat="1" applyFont="1" applyBorder="1" applyAlignment="1">
      <alignment horizontal="center"/>
    </xf>
    <xf numFmtId="7" fontId="10" fillId="0" borderId="0" xfId="0" applyNumberFormat="1" applyFont="1" applyBorder="1" applyAlignment="1" quotePrefix="1">
      <alignment horizontal="center"/>
    </xf>
    <xf numFmtId="43" fontId="27" fillId="0" borderId="0" xfId="0" applyNumberFormat="1" applyFont="1" applyFill="1" applyBorder="1" applyAlignment="1">
      <alignment horizontal="center"/>
    </xf>
    <xf numFmtId="43" fontId="12" fillId="0" borderId="0" xfId="0" applyNumberFormat="1" applyFont="1" applyFill="1" applyAlignment="1">
      <alignment horizontal="center"/>
    </xf>
    <xf numFmtId="43" fontId="10" fillId="0" borderId="0" xfId="0" applyNumberFormat="1" applyFont="1" applyFill="1" applyBorder="1" applyAlignment="1">
      <alignment horizontal="center"/>
    </xf>
    <xf numFmtId="43" fontId="10" fillId="0" borderId="24" xfId="0" applyNumberFormat="1" applyFont="1" applyBorder="1" applyAlignment="1">
      <alignment horizontal="center"/>
    </xf>
    <xf numFmtId="43" fontId="10" fillId="0" borderId="0" xfId="0" applyNumberFormat="1" applyFont="1" applyBorder="1" applyAlignment="1">
      <alignment horizontal="center"/>
    </xf>
    <xf numFmtId="43" fontId="10" fillId="0" borderId="18" xfId="0" applyNumberFormat="1" applyFont="1" applyBorder="1" applyAlignment="1">
      <alignment horizontal="center"/>
    </xf>
    <xf numFmtId="43" fontId="13" fillId="0" borderId="26" xfId="0" applyNumberFormat="1" applyFont="1" applyBorder="1" applyAlignment="1">
      <alignment horizontal="center"/>
    </xf>
    <xf numFmtId="43" fontId="13" fillId="0" borderId="25" xfId="0" applyNumberFormat="1" applyFont="1" applyBorder="1" applyAlignment="1">
      <alignment horizontal="center"/>
    </xf>
    <xf numFmtId="43" fontId="13" fillId="0" borderId="21" xfId="0" applyNumberFormat="1" applyFont="1" applyBorder="1" applyAlignment="1">
      <alignment horizontal="center"/>
    </xf>
    <xf numFmtId="43" fontId="12" fillId="0" borderId="24" xfId="0" applyNumberFormat="1" applyFont="1" applyFill="1" applyBorder="1" applyAlignment="1">
      <alignment horizontal="center"/>
    </xf>
    <xf numFmtId="43" fontId="12" fillId="0" borderId="0" xfId="0" applyNumberFormat="1" applyFont="1" applyFill="1" applyBorder="1" applyAlignment="1">
      <alignment horizontal="center"/>
    </xf>
    <xf numFmtId="43" fontId="12" fillId="0" borderId="18" xfId="0" applyNumberFormat="1" applyFont="1" applyFill="1" applyBorder="1" applyAlignment="1">
      <alignment horizontal="center"/>
    </xf>
    <xf numFmtId="0" fontId="20" fillId="0" borderId="0" xfId="0" applyNumberFormat="1" applyFont="1" applyAlignment="1">
      <alignment horizontal="left" vertical="center" wrapText="1"/>
    </xf>
    <xf numFmtId="0" fontId="20" fillId="0" borderId="0" xfId="0" applyNumberFormat="1" applyFont="1" applyAlignment="1">
      <alignment horizontal="center" vertical="center" wrapText="1"/>
    </xf>
    <xf numFmtId="0" fontId="20" fillId="0" borderId="0" xfId="0" applyFont="1" applyAlignment="1">
      <alignment horizontal="left" vertical="center" wrapText="1"/>
    </xf>
    <xf numFmtId="0" fontId="34" fillId="0" borderId="0" xfId="0" applyFont="1" applyAlignment="1">
      <alignment horizontal="center" vertical="center" wrapText="1"/>
    </xf>
    <xf numFmtId="166" fontId="27" fillId="0" borderId="0" xfId="42" applyNumberFormat="1" applyFont="1" applyAlignment="1">
      <alignment horizontal="center"/>
    </xf>
    <xf numFmtId="166" fontId="10" fillId="0" borderId="0" xfId="42" applyNumberFormat="1" applyFont="1" applyAlignment="1">
      <alignment horizontal="center"/>
    </xf>
    <xf numFmtId="5" fontId="7" fillId="34" borderId="0" xfId="42" applyNumberFormat="1" applyFont="1" applyFill="1" applyBorder="1" applyAlignment="1">
      <alignment horizontal="center" wrapText="1"/>
    </xf>
    <xf numFmtId="7" fontId="5" fillId="34" borderId="12" xfId="42" applyNumberFormat="1" applyFont="1" applyFill="1" applyBorder="1" applyAlignment="1">
      <alignment horizontal="centerContinuous"/>
    </xf>
    <xf numFmtId="7" fontId="5" fillId="34" borderId="0" xfId="42" applyNumberFormat="1" applyFont="1" applyFill="1" applyBorder="1" applyAlignment="1">
      <alignment horizontal="centerContinuous"/>
    </xf>
    <xf numFmtId="164" fontId="18" fillId="34" borderId="0" xfId="42" applyNumberFormat="1" applyFont="1" applyFill="1" applyAlignment="1">
      <alignment horizontal="center" wrapText="1"/>
    </xf>
    <xf numFmtId="164" fontId="18" fillId="34" borderId="0" xfId="42" applyNumberFormat="1" applyFont="1" applyFill="1" applyBorder="1" applyAlignment="1">
      <alignment horizontal="center" wrapText="1"/>
    </xf>
    <xf numFmtId="43" fontId="5" fillId="34" borderId="26" xfId="42" applyNumberFormat="1" applyFont="1" applyFill="1" applyBorder="1" applyAlignment="1" quotePrefix="1">
      <alignment horizontal="centerContinuous"/>
    </xf>
    <xf numFmtId="14" fontId="5" fillId="34" borderId="25" xfId="42" applyNumberFormat="1" applyFont="1" applyFill="1" applyBorder="1" applyAlignment="1" quotePrefix="1">
      <alignment horizontal="centerContinuous" wrapText="1"/>
    </xf>
    <xf numFmtId="43" fontId="2" fillId="34" borderId="21" xfId="42" applyNumberFormat="1" applyFont="1" applyFill="1" applyBorder="1" applyAlignment="1">
      <alignment horizontal="centerContinuous"/>
    </xf>
    <xf numFmtId="43" fontId="5" fillId="34" borderId="22" xfId="42" applyNumberFormat="1" applyFont="1" applyFill="1" applyBorder="1" applyAlignment="1">
      <alignment horizontal="centerContinuous"/>
    </xf>
    <xf numFmtId="43" fontId="5" fillId="34" borderId="12" xfId="42" applyNumberFormat="1" applyFont="1" applyFill="1" applyBorder="1" applyAlignment="1">
      <alignment horizontal="centerContinuous"/>
    </xf>
    <xf numFmtId="43" fontId="5" fillId="34" borderId="17" xfId="42" applyNumberFormat="1" applyFont="1" applyFill="1" applyBorder="1" applyAlignment="1">
      <alignment horizontal="centerContinuous"/>
    </xf>
    <xf numFmtId="164" fontId="7" fillId="34" borderId="0" xfId="42" applyNumberFormat="1" applyFont="1" applyFill="1" applyAlignment="1">
      <alignment horizontal="centerContinuous" wrapText="1"/>
    </xf>
    <xf numFmtId="7" fontId="7" fillId="34" borderId="0" xfId="42" applyNumberFormat="1" applyFont="1" applyFill="1" applyAlignment="1">
      <alignment horizontal="center" wrapText="1"/>
    </xf>
    <xf numFmtId="164" fontId="7" fillId="34" borderId="0" xfId="42" applyNumberFormat="1" applyFont="1" applyFill="1" applyBorder="1" applyAlignment="1">
      <alignment horizontal="center" wrapText="1"/>
    </xf>
  </cellXfs>
  <cellStyles count="7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0] 2" xfId="44"/>
    <cellStyle name="Comma [0] 3" xfId="45"/>
    <cellStyle name="Comma 2" xfId="46"/>
    <cellStyle name="Comma 2 2" xfId="47"/>
    <cellStyle name="Currency" xfId="48"/>
    <cellStyle name="Currency [0]" xfId="49"/>
    <cellStyle name="Explanatory Text" xfId="50"/>
    <cellStyle name="Good" xfId="51"/>
    <cellStyle name="Heading 1" xfId="52"/>
    <cellStyle name="Heading 2" xfId="53"/>
    <cellStyle name="Heading 3" xfId="54"/>
    <cellStyle name="Heading 4" xfId="55"/>
    <cellStyle name="Input" xfId="56"/>
    <cellStyle name="Linked Cell" xfId="57"/>
    <cellStyle name="Neutral" xfId="58"/>
    <cellStyle name="Normal 2" xfId="59"/>
    <cellStyle name="Normal 2 2" xfId="60"/>
    <cellStyle name="Normal 3" xfId="61"/>
    <cellStyle name="Normal 3 2" xfId="62"/>
    <cellStyle name="Normal 3 3" xfId="63"/>
    <cellStyle name="Normal 3 3 2" xfId="64"/>
    <cellStyle name="Normal 4" xfId="65"/>
    <cellStyle name="Normal 4 2" xfId="66"/>
    <cellStyle name="Normal 4 3" xfId="67"/>
    <cellStyle name="Normal 5" xfId="68"/>
    <cellStyle name="Normal 5 2" xfId="69"/>
    <cellStyle name="Normal 6" xfId="70"/>
    <cellStyle name="Normal 7" xfId="71"/>
    <cellStyle name="Normal 8" xfId="72"/>
    <cellStyle name="Note" xfId="73"/>
    <cellStyle name="Output" xfId="74"/>
    <cellStyle name="Percent" xfId="75"/>
    <cellStyle name="STYLE1" xfId="76"/>
    <cellStyle name="STYLE2" xfId="77"/>
    <cellStyle name="STYLE3" xfId="78"/>
    <cellStyle name="STYLE4" xfId="79"/>
    <cellStyle name="STYLE5" xfId="80"/>
    <cellStyle name="STYLE6" xfId="81"/>
    <cellStyle name="STYLE7" xfId="82"/>
    <cellStyle name="Title" xfId="83"/>
    <cellStyle name="Total" xfId="84"/>
    <cellStyle name="Warning Text" xfId="8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123825</xdr:colOff>
      <xdr:row>6</xdr:row>
      <xdr:rowOff>28575</xdr:rowOff>
    </xdr:from>
    <xdr:ext cx="190500" cy="933450"/>
    <xdr:sp>
      <xdr:nvSpPr>
        <xdr:cNvPr id="1" name="Rectangle 1"/>
        <xdr:cNvSpPr>
          <a:spLocks/>
        </xdr:cNvSpPr>
      </xdr:nvSpPr>
      <xdr:spPr>
        <a:xfrm>
          <a:off x="4676775" y="1743075"/>
          <a:ext cx="190500" cy="933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123825</xdr:colOff>
      <xdr:row>6</xdr:row>
      <xdr:rowOff>28575</xdr:rowOff>
    </xdr:from>
    <xdr:ext cx="190500" cy="933450"/>
    <xdr:sp>
      <xdr:nvSpPr>
        <xdr:cNvPr id="2" name="Rectangle 2"/>
        <xdr:cNvSpPr>
          <a:spLocks/>
        </xdr:cNvSpPr>
      </xdr:nvSpPr>
      <xdr:spPr>
        <a:xfrm>
          <a:off x="4676775" y="1743075"/>
          <a:ext cx="190500" cy="933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Q12%20Flux%20Analysi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COME Y-T-Y"/>
      <sheetName val="(11) Balance Sheet-p1 (2-3)"/>
      <sheetName val="EXPENSES (p11)"/>
      <sheetName val="(9)Equity YTD4"/>
      <sheetName val="(8)Earned Incurred YTD6"/>
      <sheetName val="(7)Premiums YTD8"/>
      <sheetName val="Unpaid Loss Reserves-13"/>
      <sheetName val="Unpaid Loss Expense Reserves-14"/>
      <sheetName val="Loss Expenses Paid QTD-15"/>
      <sheetName val="Loss Expenses Paid YTD-16"/>
      <sheetName val="Trial Balance"/>
      <sheetName val="(6)Losses Incurred YTD-p1"/>
      <sheetName val="(6)Losses Incurred YTD10"/>
      <sheetName val="(4)Loss Expenses YTD12"/>
      <sheetName val="IBNR JE2"/>
      <sheetName val="(1)ULEP-YTD17"/>
      <sheetName val="Business Summary"/>
    </sheetNames>
    <sheetDataSet>
      <sheetData sheetId="6">
        <row r="9">
          <cell r="B9">
            <v>691835.6</v>
          </cell>
          <cell r="C9">
            <v>1213398.58</v>
          </cell>
          <cell r="D9">
            <v>97263.69</v>
          </cell>
          <cell r="E9">
            <v>0</v>
          </cell>
        </row>
        <row r="10">
          <cell r="B10">
            <v>12041</v>
          </cell>
          <cell r="C10">
            <v>166880.81</v>
          </cell>
          <cell r="D10">
            <v>1000</v>
          </cell>
          <cell r="E10">
            <v>0</v>
          </cell>
        </row>
        <row r="11">
          <cell r="B11">
            <v>0</v>
          </cell>
          <cell r="C11">
            <v>0</v>
          </cell>
          <cell r="D11">
            <v>0</v>
          </cell>
          <cell r="E11">
            <v>0</v>
          </cell>
        </row>
        <row r="16">
          <cell r="B16">
            <v>49144.67</v>
          </cell>
          <cell r="C16">
            <v>57075.33</v>
          </cell>
          <cell r="D16">
            <v>0</v>
          </cell>
          <cell r="E16">
            <v>0</v>
          </cell>
        </row>
        <row r="17">
          <cell r="B17">
            <v>855.33</v>
          </cell>
          <cell r="C17">
            <v>7849.67</v>
          </cell>
          <cell r="D17">
            <v>0</v>
          </cell>
          <cell r="E17">
            <v>0</v>
          </cell>
        </row>
        <row r="18">
          <cell r="B18">
            <v>0</v>
          </cell>
          <cell r="C18">
            <v>0</v>
          </cell>
          <cell r="D18">
            <v>0</v>
          </cell>
          <cell r="E18">
            <v>0</v>
          </cell>
        </row>
      </sheetData>
      <sheetData sheetId="7">
        <row r="22">
          <cell r="B22">
            <v>92073.26000000001</v>
          </cell>
          <cell r="C22">
            <v>263967.21</v>
          </cell>
          <cell r="D22">
            <v>56116.200000000004</v>
          </cell>
          <cell r="E22">
            <v>0</v>
          </cell>
        </row>
        <row r="23">
          <cell r="B23">
            <v>1603.48</v>
          </cell>
          <cell r="C23">
            <v>36303.86</v>
          </cell>
          <cell r="D23">
            <v>576.95</v>
          </cell>
          <cell r="E23">
            <v>0</v>
          </cell>
        </row>
        <row r="24">
          <cell r="B24">
            <v>0</v>
          </cell>
          <cell r="C24">
            <v>0</v>
          </cell>
          <cell r="D24">
            <v>0</v>
          </cell>
          <cell r="E24">
            <v>0</v>
          </cell>
        </row>
      </sheetData>
      <sheetData sheetId="8">
        <row r="9">
          <cell r="K9">
            <v>0</v>
          </cell>
        </row>
        <row r="10">
          <cell r="K10">
            <v>0</v>
          </cell>
        </row>
        <row r="11">
          <cell r="E11">
            <v>0</v>
          </cell>
          <cell r="K11">
            <v>0</v>
          </cell>
        </row>
        <row r="12">
          <cell r="C12">
            <v>0</v>
          </cell>
          <cell r="I12">
            <v>0</v>
          </cell>
        </row>
        <row r="15">
          <cell r="E15">
            <v>113718.28</v>
          </cell>
          <cell r="K15">
            <v>18616.05</v>
          </cell>
        </row>
        <row r="16">
          <cell r="E16">
            <v>49385.1</v>
          </cell>
          <cell r="K16">
            <v>15783.32</v>
          </cell>
        </row>
        <row r="17">
          <cell r="E17">
            <v>0</v>
          </cell>
          <cell r="K17">
            <v>0</v>
          </cell>
        </row>
        <row r="18">
          <cell r="C18">
            <v>21132.97</v>
          </cell>
          <cell r="I18">
            <v>13266.4</v>
          </cell>
        </row>
        <row r="21">
          <cell r="E21">
            <v>905810.98</v>
          </cell>
          <cell r="K21">
            <v>147190.33000000002</v>
          </cell>
        </row>
        <row r="22">
          <cell r="E22">
            <v>155177.62</v>
          </cell>
          <cell r="K22">
            <v>59654.92</v>
          </cell>
        </row>
        <row r="23">
          <cell r="E23">
            <v>1597.1</v>
          </cell>
          <cell r="K23">
            <v>129.89</v>
          </cell>
        </row>
        <row r="24">
          <cell r="C24">
            <v>120553.23</v>
          </cell>
          <cell r="I24">
            <v>86421.91</v>
          </cell>
        </row>
        <row r="27">
          <cell r="E27">
            <v>309371.71</v>
          </cell>
          <cell r="K27">
            <v>38801.25</v>
          </cell>
        </row>
        <row r="28">
          <cell r="E28">
            <v>31840.97</v>
          </cell>
          <cell r="K28">
            <v>9194.56</v>
          </cell>
        </row>
        <row r="29">
          <cell r="E29">
            <v>0</v>
          </cell>
          <cell r="K29">
            <v>0</v>
          </cell>
        </row>
        <row r="30">
          <cell r="C30">
            <v>20244.4</v>
          </cell>
          <cell r="I30">
            <v>27752.41</v>
          </cell>
        </row>
        <row r="36">
          <cell r="C36">
            <v>161929.59999999998</v>
          </cell>
          <cell r="E36">
            <v>1566901.76</v>
          </cell>
          <cell r="I36">
            <v>127439.71999999999</v>
          </cell>
        </row>
      </sheetData>
      <sheetData sheetId="9">
        <row r="9">
          <cell r="E9">
            <v>0</v>
          </cell>
          <cell r="K9">
            <v>0</v>
          </cell>
        </row>
        <row r="10">
          <cell r="E10">
            <v>0</v>
          </cell>
          <cell r="K10">
            <v>0</v>
          </cell>
        </row>
        <row r="11">
          <cell r="E11">
            <v>0</v>
          </cell>
          <cell r="K11">
            <v>0</v>
          </cell>
        </row>
        <row r="12">
          <cell r="C12">
            <v>0</v>
          </cell>
          <cell r="I12">
            <v>0</v>
          </cell>
        </row>
        <row r="15">
          <cell r="E15">
            <v>369767.49</v>
          </cell>
          <cell r="K15">
            <v>66774.3</v>
          </cell>
        </row>
        <row r="16">
          <cell r="E16">
            <v>113670.28</v>
          </cell>
          <cell r="K16">
            <v>48276.33</v>
          </cell>
        </row>
        <row r="17">
          <cell r="E17">
            <v>0</v>
          </cell>
          <cell r="K17">
            <v>0</v>
          </cell>
        </row>
        <row r="18">
          <cell r="C18">
            <v>77735.51000000001</v>
          </cell>
          <cell r="I18">
            <v>37314.12</v>
          </cell>
        </row>
        <row r="21">
          <cell r="E21">
            <v>2130424.67</v>
          </cell>
          <cell r="K21">
            <v>298164.31</v>
          </cell>
        </row>
        <row r="22">
          <cell r="E22">
            <v>423085.99</v>
          </cell>
          <cell r="K22">
            <v>162737.49</v>
          </cell>
        </row>
        <row r="23">
          <cell r="E23">
            <v>1597.1</v>
          </cell>
          <cell r="K23">
            <v>129.89</v>
          </cell>
        </row>
        <row r="24">
          <cell r="C24">
            <v>262559.86</v>
          </cell>
          <cell r="I24">
            <v>198470.83000000002</v>
          </cell>
        </row>
        <row r="27">
          <cell r="E27">
            <v>348432.22</v>
          </cell>
          <cell r="K27">
            <v>42959.81</v>
          </cell>
        </row>
        <row r="28">
          <cell r="E28">
            <v>32990.03</v>
          </cell>
          <cell r="K28">
            <v>10787.82</v>
          </cell>
        </row>
        <row r="29">
          <cell r="E29">
            <v>0</v>
          </cell>
          <cell r="K29">
            <v>0</v>
          </cell>
        </row>
        <row r="30">
          <cell r="C30">
            <v>22977.55</v>
          </cell>
          <cell r="I30">
            <v>30770.079999999998</v>
          </cell>
        </row>
        <row r="36">
          <cell r="C36">
            <v>363273.92000000004</v>
          </cell>
          <cell r="E36">
            <v>3419966.78</v>
          </cell>
          <cell r="I36">
            <v>266555.03</v>
          </cell>
        </row>
      </sheetData>
      <sheetData sheetId="10">
        <row r="23">
          <cell r="F23">
            <v>8446967.610000001</v>
          </cell>
        </row>
        <row r="27">
          <cell r="F27">
            <v>530547.56</v>
          </cell>
        </row>
        <row r="31">
          <cell r="F31">
            <v>509710.49</v>
          </cell>
        </row>
        <row r="35">
          <cell r="F35">
            <v>12234.230000000001</v>
          </cell>
        </row>
        <row r="43">
          <cell r="F43">
            <v>157612.07</v>
          </cell>
        </row>
        <row r="51">
          <cell r="F51">
            <v>11760.43</v>
          </cell>
        </row>
        <row r="67">
          <cell r="E67">
            <v>-1077543.05</v>
          </cell>
        </row>
        <row r="68">
          <cell r="E68">
            <v>-311635.62</v>
          </cell>
        </row>
        <row r="69">
          <cell r="E69">
            <v>-3705.59</v>
          </cell>
        </row>
        <row r="71">
          <cell r="E71">
            <v>-3169406.36</v>
          </cell>
        </row>
        <row r="72">
          <cell r="E72">
            <v>-1010421.17</v>
          </cell>
        </row>
        <row r="73">
          <cell r="E73">
            <v>-11885.2</v>
          </cell>
        </row>
        <row r="75">
          <cell r="F75">
            <v>-5584596.99</v>
          </cell>
        </row>
        <row r="90">
          <cell r="F90">
            <v>-2182419.68</v>
          </cell>
        </row>
        <row r="102">
          <cell r="F102">
            <v>-114925</v>
          </cell>
        </row>
        <row r="119">
          <cell r="F119">
            <v>-335051</v>
          </cell>
        </row>
        <row r="134">
          <cell r="F134">
            <v>-115588.95999999998</v>
          </cell>
        </row>
        <row r="140">
          <cell r="F140">
            <v>-17294.58</v>
          </cell>
        </row>
        <row r="144">
          <cell r="F144">
            <v>-1448.55</v>
          </cell>
        </row>
        <row r="147">
          <cell r="F147">
            <v>-8423.42</v>
          </cell>
        </row>
        <row r="155">
          <cell r="F155">
            <v>-121784.53999999998</v>
          </cell>
        </row>
        <row r="184">
          <cell r="F184">
            <v>-362060.97</v>
          </cell>
        </row>
        <row r="187">
          <cell r="F187">
            <v>-4592169</v>
          </cell>
        </row>
        <row r="190">
          <cell r="F190">
            <v>-676614</v>
          </cell>
        </row>
        <row r="193">
          <cell r="F193">
            <v>-290260.55</v>
          </cell>
        </row>
        <row r="199">
          <cell r="F199">
            <v>-76915.53</v>
          </cell>
        </row>
        <row r="205">
          <cell r="C205">
            <v>-9502.35</v>
          </cell>
        </row>
        <row r="209">
          <cell r="C209">
            <v>-27124.65</v>
          </cell>
        </row>
        <row r="218">
          <cell r="C218">
            <v>91</v>
          </cell>
          <cell r="E218">
            <v>628</v>
          </cell>
        </row>
        <row r="219">
          <cell r="C219">
            <v>83</v>
          </cell>
          <cell r="E219">
            <v>217</v>
          </cell>
        </row>
        <row r="221">
          <cell r="C221">
            <v>23080</v>
          </cell>
          <cell r="E221">
            <v>70985</v>
          </cell>
        </row>
        <row r="222">
          <cell r="C222">
            <v>6655</v>
          </cell>
          <cell r="E222">
            <v>20514</v>
          </cell>
        </row>
        <row r="223">
          <cell r="C223">
            <v>155</v>
          </cell>
          <cell r="E223">
            <v>1234</v>
          </cell>
        </row>
        <row r="225">
          <cell r="C225">
            <v>-2147668</v>
          </cell>
          <cell r="E225">
            <v>-4217381</v>
          </cell>
        </row>
        <row r="226">
          <cell r="C226">
            <v>-734191</v>
          </cell>
          <cell r="E226">
            <v>-1322292</v>
          </cell>
        </row>
        <row r="227">
          <cell r="C227">
            <v>-9217</v>
          </cell>
          <cell r="E227">
            <v>-15169</v>
          </cell>
        </row>
        <row r="268">
          <cell r="D268">
            <v>-13713.520000000002</v>
          </cell>
          <cell r="F268">
            <v>-27674.019999999997</v>
          </cell>
        </row>
        <row r="274">
          <cell r="D274">
            <v>22.990000000000002</v>
          </cell>
          <cell r="F274">
            <v>-7454.700000000001</v>
          </cell>
        </row>
        <row r="278">
          <cell r="C278">
            <v>-400.28</v>
          </cell>
          <cell r="E278">
            <v>-400.28</v>
          </cell>
        </row>
        <row r="279">
          <cell r="C279">
            <v>-5443.5</v>
          </cell>
          <cell r="E279">
            <v>-11000.85</v>
          </cell>
        </row>
        <row r="280">
          <cell r="D280">
            <v>-5843.78</v>
          </cell>
          <cell r="F280">
            <v>-11401.130000000001</v>
          </cell>
        </row>
        <row r="296">
          <cell r="C296">
            <v>217.36</v>
          </cell>
        </row>
        <row r="297">
          <cell r="C297">
            <v>25541.71</v>
          </cell>
        </row>
        <row r="299">
          <cell r="C299">
            <v>-47907.85</v>
          </cell>
          <cell r="E299">
            <v>-55156.05</v>
          </cell>
        </row>
        <row r="300">
          <cell r="C300">
            <v>-25874.44</v>
          </cell>
          <cell r="E300">
            <v>-25874.44</v>
          </cell>
        </row>
        <row r="302">
          <cell r="C302">
            <v>-22187.46</v>
          </cell>
          <cell r="E302">
            <v>-22187.46</v>
          </cell>
        </row>
        <row r="304">
          <cell r="D304">
            <v>-70210.68</v>
          </cell>
          <cell r="F304">
            <v>-103217.95000000001</v>
          </cell>
        </row>
        <row r="404">
          <cell r="D404">
            <v>-17.4</v>
          </cell>
          <cell r="F404">
            <v>-84.5</v>
          </cell>
        </row>
        <row r="408">
          <cell r="D408">
            <v>-2404.3</v>
          </cell>
          <cell r="F408">
            <v>-7602.799999999999</v>
          </cell>
        </row>
        <row r="412">
          <cell r="D412">
            <v>255686.5</v>
          </cell>
          <cell r="F412">
            <v>480649.2</v>
          </cell>
        </row>
        <row r="414">
          <cell r="D414">
            <v>253264.8</v>
          </cell>
          <cell r="F414">
            <v>472961.9</v>
          </cell>
        </row>
        <row r="417">
          <cell r="D417">
            <v>6615.21</v>
          </cell>
          <cell r="F417">
            <v>22370.15</v>
          </cell>
        </row>
        <row r="419">
          <cell r="D419">
            <v>4125</v>
          </cell>
          <cell r="F419">
            <v>8250</v>
          </cell>
        </row>
        <row r="423">
          <cell r="D423">
            <v>17474.989999999998</v>
          </cell>
          <cell r="F423">
            <v>38435.8</v>
          </cell>
        </row>
        <row r="425">
          <cell r="D425">
            <v>28215.199999999997</v>
          </cell>
          <cell r="F425">
            <v>69055.95</v>
          </cell>
        </row>
        <row r="666">
          <cell r="D666">
            <v>873019.3399999997</v>
          </cell>
          <cell r="F666">
            <v>1744067.3299999991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59"/>
  <sheetViews>
    <sheetView tabSelected="1" zoomScalePageLayoutView="0" workbookViewId="0" topLeftCell="A1">
      <selection activeCell="A1" sqref="A1:E1"/>
    </sheetView>
  </sheetViews>
  <sheetFormatPr defaultColWidth="15.7109375" defaultRowHeight="15" customHeight="1"/>
  <cols>
    <col min="1" max="1" width="52.57421875" style="1" customWidth="1"/>
    <col min="2" max="3" width="15.7109375" style="2" customWidth="1"/>
    <col min="4" max="4" width="17.28125" style="2" customWidth="1"/>
    <col min="5" max="5" width="20.57421875" style="2" bestFit="1" customWidth="1"/>
    <col min="6" max="16384" width="15.7109375" style="1" customWidth="1"/>
  </cols>
  <sheetData>
    <row r="1" spans="1:5" s="45" customFormat="1" ht="30" customHeight="1">
      <c r="A1" s="294" t="s">
        <v>38</v>
      </c>
      <c r="B1" s="294"/>
      <c r="C1" s="294"/>
      <c r="D1" s="294"/>
      <c r="E1" s="294"/>
    </row>
    <row r="2" spans="1:5" s="45" customFormat="1" ht="15" customHeight="1">
      <c r="A2" s="297"/>
      <c r="B2" s="297"/>
      <c r="C2" s="297"/>
      <c r="D2" s="297"/>
      <c r="E2" s="297"/>
    </row>
    <row r="3" spans="1:5" s="42" customFormat="1" ht="15" customHeight="1">
      <c r="A3" s="295" t="s">
        <v>37</v>
      </c>
      <c r="B3" s="295"/>
      <c r="C3" s="295"/>
      <c r="D3" s="295"/>
      <c r="E3" s="295"/>
    </row>
    <row r="4" spans="1:5" s="42" customFormat="1" ht="15" customHeight="1">
      <c r="A4" s="296" t="s">
        <v>36</v>
      </c>
      <c r="B4" s="296"/>
      <c r="C4" s="296"/>
      <c r="D4" s="296"/>
      <c r="E4" s="296"/>
    </row>
    <row r="5" spans="1:5" s="42" customFormat="1" ht="15" customHeight="1">
      <c r="A5" s="44"/>
      <c r="B5" s="43"/>
      <c r="C5" s="43"/>
      <c r="D5" s="43"/>
      <c r="E5" s="43"/>
    </row>
    <row r="6" spans="1:5" ht="45" customHeight="1">
      <c r="A6" s="41"/>
      <c r="B6" s="318" t="s">
        <v>35</v>
      </c>
      <c r="C6" s="318" t="s">
        <v>34</v>
      </c>
      <c r="D6" s="318" t="s">
        <v>33</v>
      </c>
      <c r="E6" s="318" t="s">
        <v>32</v>
      </c>
    </row>
    <row r="7" spans="1:5" ht="15" customHeight="1">
      <c r="A7" s="40" t="s">
        <v>31</v>
      </c>
      <c r="B7" s="39"/>
      <c r="C7" s="39"/>
      <c r="D7" s="39"/>
      <c r="E7" s="39"/>
    </row>
    <row r="8" spans="1:5" ht="15" customHeight="1">
      <c r="A8" s="20" t="s">
        <v>30</v>
      </c>
      <c r="B8" s="38">
        <f>'[1]Trial Balance'!F27</f>
        <v>530547.56</v>
      </c>
      <c r="C8" s="37">
        <v>0</v>
      </c>
      <c r="D8" s="37">
        <v>0</v>
      </c>
      <c r="E8" s="38">
        <f>SUM(B8:D8)</f>
        <v>530547.56</v>
      </c>
    </row>
    <row r="9" spans="1:5" ht="15" customHeight="1">
      <c r="A9" s="20" t="s">
        <v>29</v>
      </c>
      <c r="B9" s="35">
        <f>'[1]Trial Balance'!F31</f>
        <v>509710.49</v>
      </c>
      <c r="C9" s="36">
        <v>0</v>
      </c>
      <c r="D9" s="37">
        <v>0</v>
      </c>
      <c r="E9" s="35">
        <f>SUM(B9:D9)</f>
        <v>509710.49</v>
      </c>
    </row>
    <row r="10" spans="1:5" ht="15" customHeight="1">
      <c r="A10" s="20" t="s">
        <v>28</v>
      </c>
      <c r="B10" s="35">
        <f>'[1]Trial Balance'!F23</f>
        <v>8446967.610000001</v>
      </c>
      <c r="C10" s="37">
        <v>0</v>
      </c>
      <c r="D10" s="37">
        <v>0</v>
      </c>
      <c r="E10" s="35">
        <f>SUM(B10:D10)</f>
        <v>8446967.610000001</v>
      </c>
    </row>
    <row r="11" spans="1:5" ht="15" customHeight="1">
      <c r="A11" s="20" t="s">
        <v>27</v>
      </c>
      <c r="B11" s="35">
        <f>499092.17+469594.79+97524+13456</f>
        <v>1079666.96</v>
      </c>
      <c r="C11" s="37">
        <v>0</v>
      </c>
      <c r="D11" s="35">
        <f>B11</f>
        <v>1079666.96</v>
      </c>
      <c r="E11" s="36">
        <v>0</v>
      </c>
    </row>
    <row r="12" spans="1:5" ht="15" customHeight="1">
      <c r="A12" s="20" t="s">
        <v>26</v>
      </c>
      <c r="B12" s="36">
        <v>0</v>
      </c>
      <c r="C12" s="35">
        <f>'[1]Trial Balance'!F35</f>
        <v>12234.230000000001</v>
      </c>
      <c r="D12" s="36">
        <v>0</v>
      </c>
      <c r="E12" s="35">
        <f>SUM(B12:D12)</f>
        <v>12234.230000000001</v>
      </c>
    </row>
    <row r="13" spans="1:5" ht="15" customHeight="1">
      <c r="A13" s="20" t="s">
        <v>25</v>
      </c>
      <c r="B13" s="35">
        <f>67326.06-56131.48</f>
        <v>11194.579999999994</v>
      </c>
      <c r="C13" s="36">
        <v>0</v>
      </c>
      <c r="D13" s="35">
        <f>B13</f>
        <v>11194.579999999994</v>
      </c>
      <c r="E13" s="36">
        <f>+B13-D13</f>
        <v>0</v>
      </c>
    </row>
    <row r="14" spans="1:7" ht="15" customHeight="1">
      <c r="A14" s="20" t="s">
        <v>24</v>
      </c>
      <c r="B14" s="35">
        <f>192708.02-192708.02+39350.62-36071.38+451957.99-113429.22+'[1]Trial Balance'!F51</f>
        <v>353568.44</v>
      </c>
      <c r="C14" s="36">
        <v>0</v>
      </c>
      <c r="D14" s="35">
        <f>192708.02-192708.02+39350.62-36071.38+451957.99-113429.22-1</f>
        <v>341807.01</v>
      </c>
      <c r="E14" s="35">
        <f>B14-D14</f>
        <v>11761.429999999993</v>
      </c>
      <c r="F14" s="11"/>
      <c r="G14" s="17"/>
    </row>
    <row r="15" spans="1:6" ht="15" customHeight="1">
      <c r="A15" s="20" t="s">
        <v>23</v>
      </c>
      <c r="B15" s="35">
        <f>'[1]Trial Balance'!F43+139.5+432.3</f>
        <v>158183.87</v>
      </c>
      <c r="C15" s="36">
        <v>0</v>
      </c>
      <c r="D15" s="35">
        <f>139.5+432.3</f>
        <v>571.8</v>
      </c>
      <c r="E15" s="35">
        <f>+B15-C15-D15</f>
        <v>157612.07</v>
      </c>
      <c r="F15" s="17"/>
    </row>
    <row r="16" spans="1:5" ht="15" customHeight="1">
      <c r="A16" s="23" t="s">
        <v>22</v>
      </c>
      <c r="B16" s="34">
        <f>SUM(B8:B15)</f>
        <v>11089839.51</v>
      </c>
      <c r="C16" s="34">
        <f>SUM(C8:C15)</f>
        <v>12234.230000000001</v>
      </c>
      <c r="D16" s="34">
        <f>SUM(D8:D15)+1</f>
        <v>1433241.35</v>
      </c>
      <c r="E16" s="34">
        <f>SUM(E8:E15)</f>
        <v>9668833.390000002</v>
      </c>
    </row>
    <row r="17" spans="1:5" ht="15" customHeight="1">
      <c r="A17" s="16"/>
      <c r="B17" s="13"/>
      <c r="C17" s="13"/>
      <c r="D17" s="13"/>
      <c r="E17" s="26"/>
    </row>
    <row r="18" spans="1:5" ht="15" customHeight="1">
      <c r="A18" s="21" t="s">
        <v>21</v>
      </c>
      <c r="B18" s="13"/>
      <c r="C18" s="13"/>
      <c r="D18" s="13"/>
      <c r="E18" s="13"/>
    </row>
    <row r="19" spans="1:5" ht="15" customHeight="1">
      <c r="A19" s="20" t="s">
        <v>20</v>
      </c>
      <c r="B19" s="13"/>
      <c r="C19" s="15"/>
      <c r="D19" s="30">
        <f>-'[1]Trial Balance'!F187</f>
        <v>4592169</v>
      </c>
      <c r="E19" s="13"/>
    </row>
    <row r="20" spans="1:5" ht="15" customHeight="1">
      <c r="A20" s="20" t="s">
        <v>19</v>
      </c>
      <c r="B20" s="13"/>
      <c r="C20" s="15"/>
      <c r="D20" s="30">
        <f>-'[1]Trial Balance'!F190</f>
        <v>676614</v>
      </c>
      <c r="E20" s="13"/>
    </row>
    <row r="21" spans="1:5" ht="15" customHeight="1">
      <c r="A21" s="20" t="s">
        <v>18</v>
      </c>
      <c r="B21" s="13"/>
      <c r="C21" s="15"/>
      <c r="D21" s="30">
        <f>-'[1]Trial Balance'!F184</f>
        <v>362060.97</v>
      </c>
      <c r="E21" s="13"/>
    </row>
    <row r="22" spans="1:5" ht="15" customHeight="1">
      <c r="A22" s="20" t="s">
        <v>17</v>
      </c>
      <c r="B22" s="13"/>
      <c r="C22" s="15"/>
      <c r="D22" s="30">
        <f>-'[1]Trial Balance'!F193</f>
        <v>290260.55</v>
      </c>
      <c r="E22" s="13"/>
    </row>
    <row r="23" spans="1:5" ht="15" customHeight="1">
      <c r="A23" s="20" t="s">
        <v>16</v>
      </c>
      <c r="B23" s="13"/>
      <c r="C23" s="33"/>
      <c r="D23" s="30">
        <f>-'[1]Trial Balance'!F199-3</f>
        <v>76912.53</v>
      </c>
      <c r="E23" s="30"/>
    </row>
    <row r="24" spans="1:5" ht="15" customHeight="1">
      <c r="A24" s="20" t="s">
        <v>15</v>
      </c>
      <c r="B24" s="13"/>
      <c r="C24" s="33"/>
      <c r="D24" s="30">
        <f>-'[1]Trial Balance'!F147</f>
        <v>8423.42</v>
      </c>
      <c r="E24" s="30"/>
    </row>
    <row r="25" spans="1:5" ht="15" customHeight="1">
      <c r="A25" s="20" t="s">
        <v>14</v>
      </c>
      <c r="B25" s="13"/>
      <c r="C25" s="15"/>
      <c r="D25" s="27">
        <f>-'[1]Trial Balance'!F144</f>
        <v>1448.55</v>
      </c>
      <c r="E25" s="15"/>
    </row>
    <row r="26" spans="1:5" ht="15" customHeight="1">
      <c r="A26" s="20"/>
      <c r="B26" s="32"/>
      <c r="C26" s="13"/>
      <c r="D26" s="13"/>
      <c r="E26" s="30"/>
    </row>
    <row r="27" spans="1:5" ht="15" customHeight="1">
      <c r="A27" s="23" t="s">
        <v>13</v>
      </c>
      <c r="B27" s="13"/>
      <c r="C27" s="13"/>
      <c r="D27" s="13"/>
      <c r="E27" s="25">
        <f>SUM(D19:D26)+1</f>
        <v>6007890.02</v>
      </c>
    </row>
    <row r="28" spans="1:5" ht="15" customHeight="1">
      <c r="A28" s="16"/>
      <c r="B28" s="13"/>
      <c r="C28" s="13"/>
      <c r="D28" s="13"/>
      <c r="E28" s="13"/>
    </row>
    <row r="29" spans="1:5" ht="15" customHeight="1">
      <c r="A29" s="21" t="s">
        <v>12</v>
      </c>
      <c r="B29" s="13"/>
      <c r="C29" s="13"/>
      <c r="D29" s="13"/>
      <c r="E29" s="13"/>
    </row>
    <row r="30" spans="1:5" ht="15" customHeight="1">
      <c r="A30" s="20" t="s">
        <v>11</v>
      </c>
      <c r="B30" s="13"/>
      <c r="C30" s="15"/>
      <c r="D30" s="30">
        <f>-'[1]Trial Balance'!F75</f>
        <v>5584596.99</v>
      </c>
      <c r="E30" s="13"/>
    </row>
    <row r="31" spans="1:7" ht="15" customHeight="1">
      <c r="A31" s="20" t="s">
        <v>10</v>
      </c>
      <c r="B31" s="13"/>
      <c r="C31" s="15"/>
      <c r="D31" s="30">
        <f>-'[1]Trial Balance'!F90+1</f>
        <v>2182420.68</v>
      </c>
      <c r="E31" s="30"/>
      <c r="F31" s="29"/>
      <c r="G31" s="31"/>
    </row>
    <row r="32" spans="1:7" ht="15" customHeight="1">
      <c r="A32" s="20" t="s">
        <v>9</v>
      </c>
      <c r="B32" s="13"/>
      <c r="C32" s="15"/>
      <c r="D32" s="30">
        <f>-'[1]Trial Balance'!F102</f>
        <v>114925</v>
      </c>
      <c r="E32" s="30"/>
      <c r="F32" s="29"/>
      <c r="G32" s="31"/>
    </row>
    <row r="33" spans="1:7" ht="15" customHeight="1">
      <c r="A33" s="20" t="s">
        <v>8</v>
      </c>
      <c r="B33" s="13"/>
      <c r="C33" s="15"/>
      <c r="D33" s="30">
        <f>-'[1]Trial Balance'!F119</f>
        <v>335051</v>
      </c>
      <c r="E33" s="30"/>
      <c r="F33" s="29"/>
      <c r="G33" s="31"/>
    </row>
    <row r="34" spans="1:8" ht="15" customHeight="1">
      <c r="A34" s="20" t="s">
        <v>7</v>
      </c>
      <c r="B34" s="15"/>
      <c r="C34" s="15"/>
      <c r="D34" s="30">
        <f>-'[1]Trial Balance'!F134</f>
        <v>115588.95999999998</v>
      </c>
      <c r="E34" s="30"/>
      <c r="F34" s="29"/>
      <c r="G34" s="29"/>
      <c r="H34" s="29"/>
    </row>
    <row r="35" spans="1:5" ht="15" customHeight="1">
      <c r="A35" s="20" t="s">
        <v>6</v>
      </c>
      <c r="B35" s="13"/>
      <c r="C35" s="15"/>
      <c r="D35" s="28">
        <f>-'[1]Trial Balance'!F155</f>
        <v>121784.53999999998</v>
      </c>
      <c r="E35" s="13"/>
    </row>
    <row r="36" spans="1:5" ht="15" customHeight="1">
      <c r="A36" s="20" t="s">
        <v>5</v>
      </c>
      <c r="B36" s="13"/>
      <c r="C36" s="13"/>
      <c r="D36" s="27">
        <f>-'[1]Trial Balance'!F140</f>
        <v>17294.58</v>
      </c>
      <c r="E36" s="13"/>
    </row>
    <row r="37" spans="1:5" ht="15" customHeight="1">
      <c r="A37" s="20"/>
      <c r="B37" s="26"/>
      <c r="C37" s="13"/>
      <c r="D37" s="13"/>
      <c r="E37" s="13"/>
    </row>
    <row r="38" spans="1:5" ht="15" customHeight="1">
      <c r="A38" s="14" t="s">
        <v>4</v>
      </c>
      <c r="B38" s="13"/>
      <c r="C38" s="13"/>
      <c r="D38" s="15"/>
      <c r="E38" s="25">
        <f>SUM(D30:D36)+1</f>
        <v>8471662.75</v>
      </c>
    </row>
    <row r="39" spans="1:5" ht="15" customHeight="1">
      <c r="A39" s="14"/>
      <c r="B39" s="13"/>
      <c r="C39" s="13"/>
      <c r="D39" s="15"/>
      <c r="E39" s="24"/>
    </row>
    <row r="40" spans="1:7" ht="15" customHeight="1">
      <c r="A40" s="23" t="s">
        <v>3</v>
      </c>
      <c r="B40" s="13"/>
      <c r="C40" s="13"/>
      <c r="D40" s="15"/>
      <c r="E40" s="22">
        <f>E27+E38</f>
        <v>14479552.77</v>
      </c>
      <c r="G40" s="17"/>
    </row>
    <row r="41" spans="1:5" ht="15" customHeight="1">
      <c r="A41" s="16"/>
      <c r="B41" s="13"/>
      <c r="C41" s="13"/>
      <c r="D41" s="15"/>
      <c r="E41" s="13"/>
    </row>
    <row r="42" spans="1:5" ht="15" customHeight="1">
      <c r="A42" s="21" t="s">
        <v>2</v>
      </c>
      <c r="B42" s="13"/>
      <c r="C42" s="13"/>
      <c r="D42" s="15"/>
      <c r="E42" s="13"/>
    </row>
    <row r="43" spans="1:8" ht="15" customHeight="1">
      <c r="A43" s="20" t="s">
        <v>1</v>
      </c>
      <c r="B43" s="13"/>
      <c r="C43" s="13"/>
      <c r="D43" s="15"/>
      <c r="E43" s="19">
        <f>+E16-E40-1</f>
        <v>-4810720.379999997</v>
      </c>
      <c r="F43" s="18"/>
      <c r="G43" s="17"/>
      <c r="H43" s="11"/>
    </row>
    <row r="44" spans="1:5" ht="15" customHeight="1">
      <c r="A44" s="16"/>
      <c r="B44" s="15"/>
      <c r="C44" s="15"/>
      <c r="D44" s="15"/>
      <c r="E44" s="13"/>
    </row>
    <row r="45" spans="1:7" ht="15" customHeight="1" thickBot="1">
      <c r="A45" s="14" t="s">
        <v>0</v>
      </c>
      <c r="B45" s="13"/>
      <c r="C45" s="13"/>
      <c r="D45" s="13"/>
      <c r="E45" s="12">
        <f>E40+E43+1</f>
        <v>9668833.390000002</v>
      </c>
      <c r="F45" s="11"/>
      <c r="G45" s="8"/>
    </row>
    <row r="46" spans="1:6" ht="15" customHeight="1" thickTop="1">
      <c r="A46" s="10"/>
      <c r="B46" s="9"/>
      <c r="C46" s="9"/>
      <c r="D46" s="9"/>
      <c r="E46" s="9"/>
      <c r="F46" s="8"/>
    </row>
    <row r="55" spans="1:5" ht="15" customHeight="1">
      <c r="A55" s="7"/>
      <c r="E55" s="6"/>
    </row>
    <row r="58" spans="2:5" s="3" customFormat="1" ht="15" customHeight="1">
      <c r="B58" s="5"/>
      <c r="C58" s="5"/>
      <c r="E58" s="4"/>
    </row>
    <row r="59" spans="2:5" s="3" customFormat="1" ht="15" customHeight="1">
      <c r="B59" s="5"/>
      <c r="C59" s="5"/>
      <c r="D59" s="5"/>
      <c r="E59" s="4"/>
    </row>
  </sheetData>
  <sheetProtection/>
  <mergeCells count="4">
    <mergeCell ref="A1:E1"/>
    <mergeCell ref="A3:E3"/>
    <mergeCell ref="A4:E4"/>
    <mergeCell ref="A2:E2"/>
  </mergeCells>
  <printOptions horizontalCentered="1"/>
  <pageMargins left="0.25" right="0.25" top="0.5" bottom="0.5" header="0.25" footer="0.25"/>
  <pageSetup horizontalDpi="300" verticalDpi="300" orientation="portrait" scale="80" r:id="rId2"/>
  <headerFooter alignWithMargins="0">
    <oddFooter>&amp;C&amp;"Century Schoolbook,Regular"Page 1</oddFooter>
  </headerFooter>
  <drawing r:id="rId1"/>
</worksheet>
</file>

<file path=xl/worksheets/sheet10.xml><?xml version="1.0" encoding="utf-8"?>
<worksheet xmlns="http://schemas.openxmlformats.org/spreadsheetml/2006/main" xmlns:r="http://schemas.openxmlformats.org/officeDocument/2006/relationships">
  <dimension ref="A1:F74"/>
  <sheetViews>
    <sheetView zoomScalePageLayoutView="0" workbookViewId="0" topLeftCell="A1">
      <selection activeCell="A1" sqref="A1:F1"/>
    </sheetView>
  </sheetViews>
  <sheetFormatPr defaultColWidth="15.7109375" defaultRowHeight="15" customHeight="1"/>
  <cols>
    <col min="1" max="1" width="59.00390625" style="233" customWidth="1"/>
    <col min="2" max="4" width="16.7109375" style="232" customWidth="1"/>
    <col min="5" max="6" width="16.7109375" style="231" customWidth="1"/>
    <col min="7" max="16384" width="15.7109375" style="137" customWidth="1"/>
  </cols>
  <sheetData>
    <row r="1" spans="1:6" s="260" customFormat="1" ht="24.75" customHeight="1">
      <c r="A1" s="316" t="s">
        <v>38</v>
      </c>
      <c r="B1" s="316"/>
      <c r="C1" s="316"/>
      <c r="D1" s="316"/>
      <c r="E1" s="316"/>
      <c r="F1" s="316"/>
    </row>
    <row r="2" spans="1:6" s="259" customFormat="1" ht="15" customHeight="1">
      <c r="A2" s="234"/>
      <c r="B2" s="256"/>
      <c r="C2" s="256"/>
      <c r="D2" s="256"/>
      <c r="E2" s="256"/>
      <c r="F2" s="256"/>
    </row>
    <row r="3" spans="1:6" s="258" customFormat="1" ht="15" customHeight="1">
      <c r="A3" s="317" t="s">
        <v>197</v>
      </c>
      <c r="B3" s="317"/>
      <c r="C3" s="317"/>
      <c r="D3" s="317"/>
      <c r="E3" s="317"/>
      <c r="F3" s="317"/>
    </row>
    <row r="4" spans="1:6" s="258" customFormat="1" ht="15" customHeight="1">
      <c r="A4" s="317" t="s">
        <v>109</v>
      </c>
      <c r="B4" s="317"/>
      <c r="C4" s="317"/>
      <c r="D4" s="317"/>
      <c r="E4" s="317"/>
      <c r="F4" s="317"/>
    </row>
    <row r="5" spans="1:6" s="255" customFormat="1" ht="15" customHeight="1">
      <c r="A5" s="234"/>
      <c r="B5" s="257"/>
      <c r="C5" s="257"/>
      <c r="D5" s="257"/>
      <c r="E5" s="256"/>
      <c r="F5" s="256"/>
    </row>
    <row r="6" spans="2:6" ht="30" customHeight="1">
      <c r="B6" s="329" t="s">
        <v>104</v>
      </c>
      <c r="C6" s="329" t="s">
        <v>103</v>
      </c>
      <c r="D6" s="329" t="s">
        <v>102</v>
      </c>
      <c r="E6" s="329" t="s">
        <v>101</v>
      </c>
      <c r="F6" s="329" t="s">
        <v>100</v>
      </c>
    </row>
    <row r="7" spans="1:6" ht="15" customHeight="1">
      <c r="A7" s="246" t="s">
        <v>196</v>
      </c>
      <c r="B7" s="235"/>
      <c r="C7" s="235"/>
      <c r="D7" s="235"/>
      <c r="E7" s="235"/>
      <c r="F7" s="235"/>
    </row>
    <row r="8" spans="1:6" ht="15" customHeight="1">
      <c r="A8" s="246" t="s">
        <v>195</v>
      </c>
      <c r="B8" s="254"/>
      <c r="C8" s="254"/>
      <c r="D8" s="254"/>
      <c r="E8" s="254"/>
      <c r="F8" s="254"/>
    </row>
    <row r="9" spans="1:6" ht="15" customHeight="1">
      <c r="A9" s="244" t="s">
        <v>194</v>
      </c>
      <c r="B9" s="198">
        <f>'[1]Loss Expenses Paid YTD-16'!E27</f>
        <v>348432.22</v>
      </c>
      <c r="C9" s="198">
        <f>'[1]Loss Expenses Paid YTD-16'!E21</f>
        <v>2130424.67</v>
      </c>
      <c r="D9" s="198">
        <f>'[1]Loss Expenses Paid YTD-16'!E15+'[1]Trial Balance'!E299</f>
        <v>314611.44</v>
      </c>
      <c r="E9" s="177">
        <f>'[1]Loss Expenses Paid YTD-16'!E9</f>
        <v>0</v>
      </c>
      <c r="F9" s="198">
        <f>SUM(B9:E9)</f>
        <v>2793468.3299999996</v>
      </c>
    </row>
    <row r="10" spans="1:6" ht="15" customHeight="1">
      <c r="A10" s="244" t="s">
        <v>164</v>
      </c>
      <c r="B10" s="196">
        <f>'[1]Loss Expenses Paid YTD-16'!E28</f>
        <v>32990.03</v>
      </c>
      <c r="C10" s="196">
        <f>'[1]Loss Expenses Paid YTD-16'!E22+'[1]Trial Balance'!E302</f>
        <v>400898.52999999997</v>
      </c>
      <c r="D10" s="196">
        <f>'[1]Loss Expenses Paid YTD-16'!E16+'[1]Trial Balance'!E300</f>
        <v>87795.84</v>
      </c>
      <c r="E10" s="177">
        <f>'[1]Loss Expenses Paid YTD-16'!E10</f>
        <v>0</v>
      </c>
      <c r="F10" s="196">
        <f>SUM(B10:E10)+1</f>
        <v>521685.3999999999</v>
      </c>
    </row>
    <row r="11" spans="1:6" ht="15" customHeight="1">
      <c r="A11" s="244" t="s">
        <v>163</v>
      </c>
      <c r="B11" s="177">
        <f>'[1]Loss Expenses Paid YTD-16'!E29</f>
        <v>0</v>
      </c>
      <c r="C11" s="196">
        <f>'[1]Loss Expenses Paid YTD-16'!E23</f>
        <v>1597.1</v>
      </c>
      <c r="D11" s="177">
        <f>'[1]Loss Expenses Paid YTD-16'!E17</f>
        <v>0</v>
      </c>
      <c r="E11" s="177">
        <f>'[1]Loss Expenses Paid YTD-16'!E11</f>
        <v>0</v>
      </c>
      <c r="F11" s="196">
        <f>SUM(B11:E11)</f>
        <v>1597.1</v>
      </c>
    </row>
    <row r="12" spans="1:6" ht="15" customHeight="1" thickBot="1">
      <c r="A12" s="243" t="s">
        <v>162</v>
      </c>
      <c r="B12" s="88">
        <f>SUM(B9:B11)</f>
        <v>381422.25</v>
      </c>
      <c r="C12" s="88">
        <f>SUM(C9:C11)+1</f>
        <v>2532921.3</v>
      </c>
      <c r="D12" s="88">
        <f>SUM(D9:D11)</f>
        <v>402407.28</v>
      </c>
      <c r="E12" s="187">
        <f>SUM(E9:E11)</f>
        <v>0</v>
      </c>
      <c r="F12" s="252">
        <f>SUM(F9:F11)-1</f>
        <v>3316749.8299999996</v>
      </c>
    </row>
    <row r="13" spans="1:6" ht="15" customHeight="1" thickTop="1">
      <c r="A13" s="246"/>
      <c r="B13" s="245"/>
      <c r="C13" s="245"/>
      <c r="D13" s="245"/>
      <c r="E13" s="196"/>
      <c r="F13" s="196"/>
    </row>
    <row r="14" spans="1:6" ht="15" customHeight="1">
      <c r="A14" s="246" t="s">
        <v>193</v>
      </c>
      <c r="B14" s="245"/>
      <c r="C14" s="245"/>
      <c r="D14" s="245"/>
      <c r="E14" s="196"/>
      <c r="F14" s="196"/>
    </row>
    <row r="15" spans="1:6" ht="15" customHeight="1">
      <c r="A15" s="244" t="s">
        <v>188</v>
      </c>
      <c r="B15" s="196">
        <f>'[1]Unpaid Loss Reserves-13'!B9</f>
        <v>691835.6</v>
      </c>
      <c r="C15" s="196">
        <f>'[1]Unpaid Loss Reserves-13'!C9</f>
        <v>1213398.58</v>
      </c>
      <c r="D15" s="196">
        <f>'[1]Unpaid Loss Reserves-13'!D9</f>
        <v>97263.69</v>
      </c>
      <c r="E15" s="177">
        <f>'[1]Unpaid Loss Reserves-13'!E9</f>
        <v>0</v>
      </c>
      <c r="F15" s="196">
        <f>SUM(B15:E15)+1</f>
        <v>2002498.87</v>
      </c>
    </row>
    <row r="16" spans="1:6" ht="15" customHeight="1">
      <c r="A16" s="244" t="s">
        <v>187</v>
      </c>
      <c r="B16" s="196">
        <f>'[1]Unpaid Loss Reserves-13'!B10</f>
        <v>12041</v>
      </c>
      <c r="C16" s="196">
        <f>'[1]Unpaid Loss Reserves-13'!C10</f>
        <v>166880.81</v>
      </c>
      <c r="D16" s="196">
        <f>'[1]Unpaid Loss Reserves-13'!D10</f>
        <v>1000</v>
      </c>
      <c r="E16" s="177">
        <f>'[1]Unpaid Loss Reserves-13'!E10</f>
        <v>0</v>
      </c>
      <c r="F16" s="196">
        <f>SUM(B16:E16)</f>
        <v>179921.81</v>
      </c>
    </row>
    <row r="17" spans="1:6" ht="15" customHeight="1">
      <c r="A17" s="244" t="s">
        <v>186</v>
      </c>
      <c r="B17" s="177">
        <f>'[1]Unpaid Loss Reserves-13'!B11</f>
        <v>0</v>
      </c>
      <c r="C17" s="177">
        <f>'[1]Unpaid Loss Reserves-13'!C11</f>
        <v>0</v>
      </c>
      <c r="D17" s="177">
        <f>'[1]Unpaid Loss Reserves-13'!D11</f>
        <v>0</v>
      </c>
      <c r="E17" s="177">
        <f>'[1]Unpaid Loss Reserves-13'!E11</f>
        <v>0</v>
      </c>
      <c r="F17" s="177">
        <f>SUM(B17:E17)</f>
        <v>0</v>
      </c>
    </row>
    <row r="18" spans="1:6" ht="15" customHeight="1" thickBot="1">
      <c r="A18" s="243" t="s">
        <v>162</v>
      </c>
      <c r="B18" s="88">
        <f>SUM(B15:B17)</f>
        <v>703876.6</v>
      </c>
      <c r="C18" s="88">
        <f>SUM(C15:C17)+1</f>
        <v>1380280.3900000001</v>
      </c>
      <c r="D18" s="88">
        <f>SUM(D15:D17)</f>
        <v>98263.69</v>
      </c>
      <c r="E18" s="187">
        <f>SUM(E15:E17)</f>
        <v>0</v>
      </c>
      <c r="F18" s="173">
        <f>SUM(F15:F17)</f>
        <v>2182420.68</v>
      </c>
    </row>
    <row r="19" spans="1:6" ht="15" customHeight="1" thickTop="1">
      <c r="A19" s="246"/>
      <c r="B19" s="89"/>
      <c r="C19" s="89"/>
      <c r="D19" s="89"/>
      <c r="E19" s="251"/>
      <c r="F19" s="251"/>
    </row>
    <row r="20" spans="1:6" ht="15" customHeight="1">
      <c r="A20" s="246" t="s">
        <v>192</v>
      </c>
      <c r="B20" s="241"/>
      <c r="C20" s="241"/>
      <c r="D20" s="241"/>
      <c r="E20" s="241"/>
      <c r="F20" s="241"/>
    </row>
    <row r="21" spans="1:6" ht="15" customHeight="1">
      <c r="A21" s="244" t="s">
        <v>188</v>
      </c>
      <c r="B21" s="196">
        <f>'[1]Unpaid Loss Reserves-13'!B16</f>
        <v>49144.67</v>
      </c>
      <c r="C21" s="196">
        <f>'[1]Unpaid Loss Reserves-13'!C16</f>
        <v>57075.33</v>
      </c>
      <c r="D21" s="177">
        <f>'[1]Unpaid Loss Reserves-13'!D16</f>
        <v>0</v>
      </c>
      <c r="E21" s="177">
        <f>'[1]Unpaid Loss Reserves-13'!E16</f>
        <v>0</v>
      </c>
      <c r="F21" s="196">
        <f>SUM(B21:E21)</f>
        <v>106220</v>
      </c>
    </row>
    <row r="22" spans="1:6" ht="15" customHeight="1">
      <c r="A22" s="244" t="s">
        <v>187</v>
      </c>
      <c r="B22" s="196">
        <f>'[1]Unpaid Loss Reserves-13'!B17</f>
        <v>855.33</v>
      </c>
      <c r="C22" s="196">
        <f>'[1]Unpaid Loss Reserves-13'!C17</f>
        <v>7849.67</v>
      </c>
      <c r="D22" s="177">
        <f>'[1]Unpaid Loss Reserves-13'!D17</f>
        <v>0</v>
      </c>
      <c r="E22" s="177">
        <f>'[1]Unpaid Loss Reserves-13'!E17</f>
        <v>0</v>
      </c>
      <c r="F22" s="196">
        <f>SUM(B22:E22)</f>
        <v>8705</v>
      </c>
    </row>
    <row r="23" spans="1:6" ht="15" customHeight="1">
      <c r="A23" s="244" t="s">
        <v>186</v>
      </c>
      <c r="B23" s="177">
        <f>'[1]Unpaid Loss Reserves-13'!B18</f>
        <v>0</v>
      </c>
      <c r="C23" s="177">
        <f>'[1]Unpaid Loss Reserves-13'!C18</f>
        <v>0</v>
      </c>
      <c r="D23" s="177">
        <f>'[1]Unpaid Loss Reserves-13'!D18</f>
        <v>0</v>
      </c>
      <c r="E23" s="177">
        <f>'[1]Unpaid Loss Reserves-13'!E18</f>
        <v>0</v>
      </c>
      <c r="F23" s="177">
        <f>SUM(B23:E23)</f>
        <v>0</v>
      </c>
    </row>
    <row r="24" spans="1:6" ht="15" customHeight="1" thickBot="1">
      <c r="A24" s="243" t="s">
        <v>162</v>
      </c>
      <c r="B24" s="88">
        <f>SUM(B21:B23)</f>
        <v>50000</v>
      </c>
      <c r="C24" s="88">
        <f>SUM(C21:C23)</f>
        <v>64925</v>
      </c>
      <c r="D24" s="94">
        <f>SUM(D21:D23)</f>
        <v>0</v>
      </c>
      <c r="E24" s="187">
        <f>SUM(E21:E23)</f>
        <v>0</v>
      </c>
      <c r="F24" s="173">
        <f>SUM(F21:F23)</f>
        <v>114925</v>
      </c>
    </row>
    <row r="25" spans="1:6" ht="15" customHeight="1" thickTop="1">
      <c r="A25" s="246"/>
      <c r="B25" s="245"/>
      <c r="C25" s="245"/>
      <c r="D25" s="245"/>
      <c r="E25" s="196"/>
      <c r="F25" s="196"/>
    </row>
    <row r="26" spans="1:6" ht="15" customHeight="1">
      <c r="A26" s="246" t="s">
        <v>198</v>
      </c>
      <c r="B26" s="248"/>
      <c r="C26" s="248"/>
      <c r="D26" s="248"/>
      <c r="E26" s="196"/>
      <c r="F26" s="196"/>
    </row>
    <row r="27" spans="1:6" ht="15" customHeight="1">
      <c r="A27" s="246" t="s">
        <v>190</v>
      </c>
      <c r="B27" s="248"/>
      <c r="C27" s="248"/>
      <c r="D27" s="248"/>
      <c r="E27" s="196"/>
      <c r="F27" s="196"/>
    </row>
    <row r="28" spans="1:6" ht="15" customHeight="1">
      <c r="A28" s="244" t="s">
        <v>188</v>
      </c>
      <c r="B28" s="177">
        <v>0</v>
      </c>
      <c r="C28" s="245">
        <v>1416428.25</v>
      </c>
      <c r="D28" s="245">
        <v>511250.83</v>
      </c>
      <c r="E28" s="245">
        <v>185000</v>
      </c>
      <c r="F28" s="196">
        <f>SUM(B28:E28)</f>
        <v>2112679.08</v>
      </c>
    </row>
    <row r="29" spans="1:6" ht="15" customHeight="1">
      <c r="A29" s="244" t="s">
        <v>187</v>
      </c>
      <c r="B29" s="177">
        <v>0</v>
      </c>
      <c r="C29" s="245">
        <v>474479.02</v>
      </c>
      <c r="D29" s="245">
        <v>274389.69</v>
      </c>
      <c r="E29" s="245">
        <v>23000</v>
      </c>
      <c r="F29" s="196">
        <f>SUM(B29:E29)</f>
        <v>771868.71</v>
      </c>
    </row>
    <row r="30" spans="1:6" ht="15" customHeight="1">
      <c r="A30" s="244" t="s">
        <v>186</v>
      </c>
      <c r="B30" s="177">
        <v>0</v>
      </c>
      <c r="C30" s="177">
        <v>0</v>
      </c>
      <c r="D30" s="177">
        <v>0</v>
      </c>
      <c r="E30" s="177">
        <v>0</v>
      </c>
      <c r="F30" s="177">
        <f>SUM(B30:E30)</f>
        <v>0</v>
      </c>
    </row>
    <row r="31" spans="1:6" ht="15" customHeight="1" thickBot="1">
      <c r="A31" s="243" t="s">
        <v>162</v>
      </c>
      <c r="B31" s="94">
        <f>SUM(B28:B30)</f>
        <v>0</v>
      </c>
      <c r="C31" s="88">
        <f>SUM(C28:C30)</f>
        <v>1890907.27</v>
      </c>
      <c r="D31" s="88">
        <f>SUM(D28:D30)</f>
        <v>785640.52</v>
      </c>
      <c r="E31" s="249">
        <f>SUM(E28:E30)</f>
        <v>208000</v>
      </c>
      <c r="F31" s="173">
        <f>SUM(F28:F30)</f>
        <v>2884547.79</v>
      </c>
    </row>
    <row r="32" spans="1:6" s="247" customFormat="1" ht="15" customHeight="1" thickTop="1">
      <c r="A32" s="246"/>
      <c r="B32" s="248"/>
      <c r="C32" s="248"/>
      <c r="D32" s="248"/>
      <c r="E32" s="248"/>
      <c r="F32" s="248"/>
    </row>
    <row r="33" spans="1:6" ht="15" customHeight="1">
      <c r="A33" s="246" t="s">
        <v>189</v>
      </c>
      <c r="B33" s="245"/>
      <c r="C33" s="245"/>
      <c r="D33" s="245"/>
      <c r="E33" s="196"/>
      <c r="F33" s="196"/>
    </row>
    <row r="34" spans="1:6" ht="15" customHeight="1">
      <c r="A34" s="244" t="s">
        <v>188</v>
      </c>
      <c r="B34" s="196">
        <f>B9+(B15+B21-B28)+1</f>
        <v>1089413.49</v>
      </c>
      <c r="C34" s="195">
        <f>C9+(C15+C21-C28)+1</f>
        <v>1984471.33</v>
      </c>
      <c r="D34" s="195">
        <f aca="true" t="shared" si="0" ref="D34:E36">D9+(D15+D21-D28)</f>
        <v>-99375.70000000001</v>
      </c>
      <c r="E34" s="195">
        <f t="shared" si="0"/>
        <v>-185000</v>
      </c>
      <c r="F34" s="196">
        <f>SUM(B34:E34)-1</f>
        <v>2789508.12</v>
      </c>
    </row>
    <row r="35" spans="1:6" ht="15" customHeight="1">
      <c r="A35" s="244" t="s">
        <v>187</v>
      </c>
      <c r="B35" s="196">
        <f>B10+(B16+B22-B29)</f>
        <v>45886.36</v>
      </c>
      <c r="C35" s="195">
        <f>C10+(C16+C22-C29)+1</f>
        <v>101150.98999999993</v>
      </c>
      <c r="D35" s="195">
        <f t="shared" si="0"/>
        <v>-185593.85</v>
      </c>
      <c r="E35" s="195">
        <f t="shared" si="0"/>
        <v>-23000</v>
      </c>
      <c r="F35" s="195">
        <f>SUM(B35:E35)</f>
        <v>-61556.50000000009</v>
      </c>
    </row>
    <row r="36" spans="1:6" ht="15" customHeight="1">
      <c r="A36" s="244" t="s">
        <v>186</v>
      </c>
      <c r="B36" s="177">
        <f>B11+(B17+B23-B30)</f>
        <v>0</v>
      </c>
      <c r="C36" s="196">
        <f>C11+(C17+C23-C30)</f>
        <v>1597.1</v>
      </c>
      <c r="D36" s="177">
        <f t="shared" si="0"/>
        <v>0</v>
      </c>
      <c r="E36" s="177">
        <f t="shared" si="0"/>
        <v>0</v>
      </c>
      <c r="F36" s="196">
        <f>SUM(B36:E36)</f>
        <v>1597.1</v>
      </c>
    </row>
    <row r="37" spans="1:6" ht="15" customHeight="1" thickBot="1">
      <c r="A37" s="243" t="s">
        <v>162</v>
      </c>
      <c r="B37" s="242">
        <f>SUM(B34:B36)-1</f>
        <v>1135298.85</v>
      </c>
      <c r="C37" s="242">
        <f>SUM(C34:C36)</f>
        <v>2087219.4200000002</v>
      </c>
      <c r="D37" s="242">
        <f>SUM(D34:D36)</f>
        <v>-284969.55000000005</v>
      </c>
      <c r="E37" s="242">
        <f>SUM(E34:E36)</f>
        <v>-208000</v>
      </c>
      <c r="F37" s="242">
        <f>SUM(F34:F36)-1</f>
        <v>2729547.72</v>
      </c>
    </row>
    <row r="38" spans="2:6" ht="15" customHeight="1" thickTop="1">
      <c r="B38" s="241"/>
      <c r="C38" s="241"/>
      <c r="D38" s="241"/>
      <c r="F38" s="196"/>
    </row>
    <row r="39" spans="1:6" s="236" customFormat="1" ht="15" customHeight="1">
      <c r="A39" s="240"/>
      <c r="B39" s="239"/>
      <c r="C39" s="239"/>
      <c r="D39" s="239"/>
      <c r="E39" s="238"/>
      <c r="F39" s="196"/>
    </row>
    <row r="40" spans="2:4" ht="15" customHeight="1">
      <c r="B40" s="235"/>
      <c r="C40" s="235"/>
      <c r="D40" s="235"/>
    </row>
    <row r="41" spans="2:4" ht="15" customHeight="1">
      <c r="B41" s="235"/>
      <c r="C41" s="235"/>
      <c r="D41" s="235"/>
    </row>
    <row r="42" spans="2:4" ht="15" customHeight="1">
      <c r="B42" s="235"/>
      <c r="C42" s="235"/>
      <c r="D42" s="235"/>
    </row>
    <row r="43" spans="1:4" ht="15" customHeight="1">
      <c r="A43" s="234"/>
      <c r="B43" s="235"/>
      <c r="C43" s="235"/>
      <c r="D43" s="235"/>
    </row>
    <row r="44" spans="1:4" ht="15" customHeight="1">
      <c r="A44" s="234"/>
      <c r="B44" s="235"/>
      <c r="C44" s="235"/>
      <c r="D44" s="235"/>
    </row>
    <row r="45" spans="1:4" ht="15" customHeight="1">
      <c r="A45" s="234"/>
      <c r="B45" s="235"/>
      <c r="C45" s="235"/>
      <c r="D45" s="235"/>
    </row>
    <row r="46" spans="1:4" ht="15" customHeight="1">
      <c r="A46" s="234"/>
      <c r="B46" s="235"/>
      <c r="C46" s="235"/>
      <c r="D46" s="235"/>
    </row>
    <row r="47" spans="1:4" ht="15" customHeight="1">
      <c r="A47" s="234"/>
      <c r="B47" s="235"/>
      <c r="C47" s="235"/>
      <c r="D47" s="235"/>
    </row>
    <row r="48" spans="1:4" ht="15" customHeight="1">
      <c r="A48" s="234"/>
      <c r="B48" s="235"/>
      <c r="C48" s="235"/>
      <c r="D48" s="235"/>
    </row>
    <row r="49" spans="1:4" s="137" customFormat="1" ht="15" customHeight="1">
      <c r="A49" s="234"/>
      <c r="B49" s="235"/>
      <c r="C49" s="235"/>
      <c r="D49" s="235"/>
    </row>
    <row r="50" spans="1:4" s="137" customFormat="1" ht="15" customHeight="1">
      <c r="A50" s="234"/>
      <c r="B50" s="235"/>
      <c r="C50" s="235"/>
      <c r="D50" s="235"/>
    </row>
    <row r="51" spans="1:4" s="137" customFormat="1" ht="15" customHeight="1">
      <c r="A51" s="234"/>
      <c r="B51" s="235"/>
      <c r="C51" s="235"/>
      <c r="D51" s="235"/>
    </row>
    <row r="52" spans="1:4" s="137" customFormat="1" ht="15" customHeight="1">
      <c r="A52" s="234"/>
      <c r="B52" s="235"/>
      <c r="C52" s="235"/>
      <c r="D52" s="235"/>
    </row>
    <row r="53" spans="1:4" s="137" customFormat="1" ht="15" customHeight="1">
      <c r="A53" s="234"/>
      <c r="B53" s="235"/>
      <c r="C53" s="235"/>
      <c r="D53" s="235"/>
    </row>
    <row r="54" spans="1:4" s="137" customFormat="1" ht="15" customHeight="1">
      <c r="A54" s="234"/>
      <c r="B54" s="235"/>
      <c r="C54" s="235"/>
      <c r="D54" s="235"/>
    </row>
    <row r="55" spans="1:4" s="137" customFormat="1" ht="15" customHeight="1">
      <c r="A55" s="234"/>
      <c r="B55" s="232"/>
      <c r="C55" s="232"/>
      <c r="D55" s="232"/>
    </row>
    <row r="56" spans="1:4" s="137" customFormat="1" ht="15" customHeight="1">
      <c r="A56" s="234"/>
      <c r="B56" s="232"/>
      <c r="C56" s="232"/>
      <c r="D56" s="232"/>
    </row>
    <row r="57" spans="1:4" s="137" customFormat="1" ht="15" customHeight="1">
      <c r="A57" s="234"/>
      <c r="B57" s="232"/>
      <c r="C57" s="232"/>
      <c r="D57" s="232"/>
    </row>
    <row r="58" spans="1:4" s="137" customFormat="1" ht="15" customHeight="1">
      <c r="A58" s="234"/>
      <c r="B58" s="232"/>
      <c r="C58" s="232"/>
      <c r="D58" s="232"/>
    </row>
    <row r="59" spans="1:4" s="137" customFormat="1" ht="15" customHeight="1">
      <c r="A59" s="234"/>
      <c r="B59" s="232"/>
      <c r="C59" s="232"/>
      <c r="D59" s="232"/>
    </row>
    <row r="60" spans="1:4" s="137" customFormat="1" ht="15" customHeight="1">
      <c r="A60" s="234"/>
      <c r="B60" s="232"/>
      <c r="C60" s="232"/>
      <c r="D60" s="232"/>
    </row>
    <row r="61" spans="1:4" s="137" customFormat="1" ht="15" customHeight="1">
      <c r="A61" s="234"/>
      <c r="B61" s="232"/>
      <c r="C61" s="232"/>
      <c r="D61" s="232"/>
    </row>
    <row r="62" spans="1:4" s="137" customFormat="1" ht="15" customHeight="1">
      <c r="A62" s="234"/>
      <c r="B62" s="232"/>
      <c r="C62" s="232"/>
      <c r="D62" s="232"/>
    </row>
    <row r="63" spans="1:4" s="137" customFormat="1" ht="15" customHeight="1">
      <c r="A63" s="234"/>
      <c r="B63" s="232"/>
      <c r="C63" s="232"/>
      <c r="D63" s="232"/>
    </row>
    <row r="64" spans="1:4" s="137" customFormat="1" ht="15" customHeight="1">
      <c r="A64" s="234"/>
      <c r="B64" s="232"/>
      <c r="C64" s="232"/>
      <c r="D64" s="232"/>
    </row>
    <row r="65" s="137" customFormat="1" ht="15" customHeight="1">
      <c r="A65" s="234"/>
    </row>
    <row r="66" s="137" customFormat="1" ht="15" customHeight="1">
      <c r="A66" s="234"/>
    </row>
    <row r="67" s="137" customFormat="1" ht="15" customHeight="1">
      <c r="A67" s="234"/>
    </row>
    <row r="68" s="137" customFormat="1" ht="15" customHeight="1">
      <c r="A68" s="234"/>
    </row>
    <row r="69" s="137" customFormat="1" ht="15" customHeight="1">
      <c r="A69" s="234"/>
    </row>
    <row r="70" s="137" customFormat="1" ht="15" customHeight="1">
      <c r="A70" s="234"/>
    </row>
    <row r="71" s="137" customFormat="1" ht="15" customHeight="1">
      <c r="A71" s="234"/>
    </row>
    <row r="72" s="137" customFormat="1" ht="15" customHeight="1">
      <c r="A72" s="234"/>
    </row>
    <row r="73" s="137" customFormat="1" ht="15" customHeight="1">
      <c r="A73" s="234"/>
    </row>
    <row r="74" s="137" customFormat="1" ht="15" customHeight="1">
      <c r="A74" s="234"/>
    </row>
  </sheetData>
  <sheetProtection/>
  <mergeCells count="3">
    <mergeCell ref="A1:F1"/>
    <mergeCell ref="A3:F3"/>
    <mergeCell ref="A4:F4"/>
  </mergeCells>
  <printOptions horizontalCentered="1"/>
  <pageMargins left="0.25" right="0.25" top="0.5" bottom="0.5" header="0.25" footer="0.25"/>
  <pageSetup horizontalDpi="300" verticalDpi="300" orientation="landscape" scale="80" r:id="rId1"/>
  <headerFooter alignWithMargins="0">
    <oddFooter>&amp;CPage 10
</oddFooter>
  </headerFooter>
</worksheet>
</file>

<file path=xl/worksheets/sheet11.xml><?xml version="1.0" encoding="utf-8"?>
<worksheet xmlns="http://schemas.openxmlformats.org/spreadsheetml/2006/main" xmlns:r="http://schemas.openxmlformats.org/officeDocument/2006/relationships">
  <dimension ref="A1:AL79"/>
  <sheetViews>
    <sheetView zoomScalePageLayoutView="0" workbookViewId="0" topLeftCell="A1">
      <selection activeCell="A1" sqref="A1"/>
    </sheetView>
  </sheetViews>
  <sheetFormatPr defaultColWidth="15.7109375" defaultRowHeight="15" customHeight="1"/>
  <cols>
    <col min="1" max="1" width="45.7109375" style="46" customWidth="1"/>
    <col min="2" max="2" width="19.00390625" style="170" customWidth="1"/>
    <col min="3" max="3" width="18.421875" style="170" customWidth="1"/>
    <col min="4" max="4" width="18.140625" style="170" customWidth="1"/>
    <col min="5" max="5" width="19.28125" style="47" customWidth="1"/>
    <col min="6" max="6" width="20.7109375" style="47" customWidth="1"/>
    <col min="7" max="7" width="15.7109375" style="47" customWidth="1"/>
    <col min="8" max="16384" width="15.7109375" style="46" customWidth="1"/>
  </cols>
  <sheetData>
    <row r="1" spans="1:7" s="288" customFormat="1" ht="30" customHeight="1">
      <c r="A1" s="293" t="s">
        <v>38</v>
      </c>
      <c r="B1" s="292"/>
      <c r="C1" s="292"/>
      <c r="D1" s="292"/>
      <c r="E1" s="291"/>
      <c r="F1" s="290"/>
      <c r="G1" s="289"/>
    </row>
    <row r="2" spans="1:6" ht="15" customHeight="1">
      <c r="A2" s="287"/>
      <c r="B2" s="286"/>
      <c r="C2" s="286"/>
      <c r="D2" s="286"/>
      <c r="E2" s="286"/>
      <c r="F2" s="280"/>
    </row>
    <row r="3" spans="1:7" s="164" customFormat="1" ht="15" customHeight="1">
      <c r="A3" s="285" t="s">
        <v>208</v>
      </c>
      <c r="B3" s="284"/>
      <c r="C3" s="284"/>
      <c r="D3" s="284"/>
      <c r="E3" s="283"/>
      <c r="F3" s="282"/>
      <c r="G3" s="165"/>
    </row>
    <row r="4" spans="1:7" s="164" customFormat="1" ht="15" customHeight="1">
      <c r="A4" s="285" t="s">
        <v>207</v>
      </c>
      <c r="B4" s="284"/>
      <c r="C4" s="284"/>
      <c r="D4" s="284"/>
      <c r="E4" s="283"/>
      <c r="F4" s="282"/>
      <c r="G4" s="165"/>
    </row>
    <row r="5" spans="1:7" s="164" customFormat="1" ht="15" customHeight="1">
      <c r="A5" s="72" t="s">
        <v>155</v>
      </c>
      <c r="B5" s="284"/>
      <c r="C5" s="284"/>
      <c r="D5" s="284"/>
      <c r="E5" s="283"/>
      <c r="F5" s="282"/>
      <c r="G5" s="165"/>
    </row>
    <row r="6" spans="1:6" ht="15" customHeight="1">
      <c r="A6" s="281"/>
      <c r="E6" s="280"/>
      <c r="F6" s="280"/>
    </row>
    <row r="7" spans="1:6" ht="30" customHeight="1">
      <c r="A7" s="132"/>
      <c r="B7" s="329" t="s">
        <v>104</v>
      </c>
      <c r="C7" s="329" t="s">
        <v>103</v>
      </c>
      <c r="D7" s="329" t="s">
        <v>102</v>
      </c>
      <c r="E7" s="329" t="s">
        <v>101</v>
      </c>
      <c r="F7" s="331" t="s">
        <v>100</v>
      </c>
    </row>
    <row r="8" spans="1:6" ht="30" customHeight="1">
      <c r="A8" s="279" t="s">
        <v>206</v>
      </c>
      <c r="B8" s="278"/>
      <c r="C8" s="278"/>
      <c r="D8" s="278"/>
      <c r="F8" s="277"/>
    </row>
    <row r="9" spans="1:37" ht="15" customHeight="1">
      <c r="A9" s="46" t="s">
        <v>201</v>
      </c>
      <c r="B9" s="276">
        <f>'[1]Loss Expenses Paid QTD-15'!K27</f>
        <v>38801.25</v>
      </c>
      <c r="C9" s="276">
        <f>'[1]Loss Expenses Paid QTD-15'!K21</f>
        <v>147190.33000000002</v>
      </c>
      <c r="D9" s="276">
        <f>'[1]Loss Expenses Paid QTD-15'!K15</f>
        <v>18616.05</v>
      </c>
      <c r="E9" s="154">
        <f>'[1]Loss Expenses Paid QTD-15'!K9</f>
        <v>0</v>
      </c>
      <c r="F9" s="276">
        <f>SUM(B9:E9)-1</f>
        <v>204606.63</v>
      </c>
      <c r="G9" s="28"/>
      <c r="H9" s="261"/>
      <c r="I9" s="261"/>
      <c r="J9" s="261"/>
      <c r="K9" s="261"/>
      <c r="L9" s="261"/>
      <c r="M9" s="261"/>
      <c r="N9" s="261"/>
      <c r="O9" s="261"/>
      <c r="P9" s="261"/>
      <c r="Q9" s="261"/>
      <c r="R9" s="261"/>
      <c r="S9" s="261"/>
      <c r="T9" s="261"/>
      <c r="U9" s="261"/>
      <c r="V9" s="261"/>
      <c r="W9" s="261"/>
      <c r="X9" s="261"/>
      <c r="Y9" s="261"/>
      <c r="Z9" s="261"/>
      <c r="AA9" s="261"/>
      <c r="AB9" s="261"/>
      <c r="AC9" s="261"/>
      <c r="AD9" s="261"/>
      <c r="AE9" s="261"/>
      <c r="AF9" s="261"/>
      <c r="AG9" s="261"/>
      <c r="AH9" s="261"/>
      <c r="AI9" s="261"/>
      <c r="AJ9" s="261"/>
      <c r="AK9" s="261"/>
    </row>
    <row r="10" spans="1:37" s="59" customFormat="1" ht="15" customHeight="1">
      <c r="A10" s="59" t="s">
        <v>200</v>
      </c>
      <c r="B10" s="28">
        <f>'[1]Loss Expenses Paid QTD-15'!K28</f>
        <v>9194.56</v>
      </c>
      <c r="C10" s="28">
        <f>'[1]Loss Expenses Paid QTD-15'!K22</f>
        <v>59654.92</v>
      </c>
      <c r="D10" s="28">
        <f>'[1]Loss Expenses Paid QTD-15'!K16</f>
        <v>15783.32</v>
      </c>
      <c r="E10" s="154">
        <f>'[1]Loss Expenses Paid QTD-15'!K10</f>
        <v>0</v>
      </c>
      <c r="F10" s="28">
        <f>SUM(B10:E10)</f>
        <v>84632.79999999999</v>
      </c>
      <c r="G10" s="28"/>
      <c r="H10" s="264"/>
      <c r="I10" s="264"/>
      <c r="J10" s="264"/>
      <c r="K10" s="264"/>
      <c r="L10" s="264"/>
      <c r="M10" s="264"/>
      <c r="N10" s="264"/>
      <c r="O10" s="264"/>
      <c r="P10" s="264"/>
      <c r="Q10" s="264"/>
      <c r="R10" s="264"/>
      <c r="S10" s="264"/>
      <c r="T10" s="264"/>
      <c r="U10" s="264"/>
      <c r="V10" s="264"/>
      <c r="W10" s="264"/>
      <c r="X10" s="264"/>
      <c r="Y10" s="264"/>
      <c r="Z10" s="264"/>
      <c r="AA10" s="264"/>
      <c r="AB10" s="264"/>
      <c r="AC10" s="264"/>
      <c r="AD10" s="264"/>
      <c r="AE10" s="264"/>
      <c r="AF10" s="264"/>
      <c r="AG10" s="264"/>
      <c r="AH10" s="264"/>
      <c r="AI10" s="264"/>
      <c r="AJ10" s="264"/>
      <c r="AK10" s="264"/>
    </row>
    <row r="11" spans="1:37" s="59" customFormat="1" ht="15" customHeight="1">
      <c r="A11" s="59" t="s">
        <v>199</v>
      </c>
      <c r="B11" s="154">
        <f>'[1]Loss Expenses Paid QTD-15'!K29</f>
        <v>0</v>
      </c>
      <c r="C11" s="28">
        <f>'[1]Loss Expenses Paid QTD-15'!K23</f>
        <v>129.89</v>
      </c>
      <c r="D11" s="154">
        <f>'[1]Loss Expenses Paid QTD-15'!K17</f>
        <v>0</v>
      </c>
      <c r="E11" s="154">
        <f>'[1]Loss Expenses Paid QTD-15'!K11</f>
        <v>0</v>
      </c>
      <c r="F11" s="28">
        <f>SUM(B11:E11)</f>
        <v>129.89</v>
      </c>
      <c r="G11" s="28"/>
      <c r="H11" s="264"/>
      <c r="I11" s="264"/>
      <c r="J11" s="264"/>
      <c r="K11" s="264"/>
      <c r="L11" s="264"/>
      <c r="M11" s="264"/>
      <c r="N11" s="264"/>
      <c r="O11" s="264"/>
      <c r="P11" s="264"/>
      <c r="Q11" s="264"/>
      <c r="R11" s="264"/>
      <c r="S11" s="264"/>
      <c r="T11" s="264"/>
      <c r="U11" s="264"/>
      <c r="V11" s="264"/>
      <c r="W11" s="264"/>
      <c r="X11" s="264"/>
      <c r="Y11" s="264"/>
      <c r="Z11" s="264"/>
      <c r="AA11" s="264"/>
      <c r="AB11" s="264"/>
      <c r="AC11" s="264"/>
      <c r="AD11" s="264"/>
      <c r="AE11" s="264"/>
      <c r="AF11" s="264"/>
      <c r="AG11" s="264"/>
      <c r="AH11" s="264"/>
      <c r="AI11" s="264"/>
      <c r="AJ11" s="264"/>
      <c r="AK11" s="264"/>
    </row>
    <row r="12" spans="1:37" s="59" customFormat="1" ht="15" customHeight="1" thickBot="1">
      <c r="A12" s="272" t="s">
        <v>162</v>
      </c>
      <c r="B12" s="271">
        <f>SUM(B9:B11)</f>
        <v>47995.81</v>
      </c>
      <c r="C12" s="271">
        <f>SUM(C9:C11)</f>
        <v>206975.14</v>
      </c>
      <c r="D12" s="271">
        <f>SUM(D9:D11)</f>
        <v>34399.369999999995</v>
      </c>
      <c r="E12" s="275">
        <f>SUM(E9:E11)</f>
        <v>0</v>
      </c>
      <c r="F12" s="186">
        <f>SUM(F9:F11)+1</f>
        <v>289370.32</v>
      </c>
      <c r="G12" s="154"/>
      <c r="H12" s="264"/>
      <c r="I12" s="264"/>
      <c r="J12" s="264"/>
      <c r="K12" s="264"/>
      <c r="L12" s="264"/>
      <c r="M12" s="264"/>
      <c r="N12" s="264"/>
      <c r="O12" s="264"/>
      <c r="P12" s="264"/>
      <c r="Q12" s="264"/>
      <c r="R12" s="264"/>
      <c r="S12" s="264"/>
      <c r="T12" s="264"/>
      <c r="U12" s="264"/>
      <c r="V12" s="264"/>
      <c r="W12" s="264"/>
      <c r="X12" s="264"/>
      <c r="Y12" s="264"/>
      <c r="Z12" s="264"/>
      <c r="AA12" s="264"/>
      <c r="AB12" s="264"/>
      <c r="AC12" s="264"/>
      <c r="AD12" s="264"/>
      <c r="AE12" s="264"/>
      <c r="AF12" s="264"/>
      <c r="AG12" s="264"/>
      <c r="AH12" s="264"/>
      <c r="AI12" s="264"/>
      <c r="AJ12" s="264"/>
      <c r="AK12" s="264"/>
    </row>
    <row r="13" spans="2:37" s="59" customFormat="1" ht="15" customHeight="1" thickTop="1">
      <c r="B13" s="180"/>
      <c r="C13" s="180"/>
      <c r="D13" s="180"/>
      <c r="E13" s="28"/>
      <c r="F13" s="47"/>
      <c r="H13" s="264"/>
      <c r="I13" s="264"/>
      <c r="J13" s="264"/>
      <c r="K13" s="264"/>
      <c r="L13" s="264"/>
      <c r="M13" s="264"/>
      <c r="N13" s="264"/>
      <c r="O13" s="264"/>
      <c r="P13" s="264"/>
      <c r="Q13" s="264"/>
      <c r="R13" s="264"/>
      <c r="S13" s="264"/>
      <c r="T13" s="264"/>
      <c r="U13" s="264"/>
      <c r="V13" s="264"/>
      <c r="W13" s="264"/>
      <c r="X13" s="264"/>
      <c r="Y13" s="264"/>
      <c r="Z13" s="264"/>
      <c r="AA13" s="264"/>
      <c r="AB13" s="264"/>
      <c r="AC13" s="264"/>
      <c r="AD13" s="264"/>
      <c r="AE13" s="264"/>
      <c r="AF13" s="264"/>
      <c r="AG13" s="264"/>
      <c r="AH13" s="264"/>
      <c r="AI13" s="264"/>
      <c r="AJ13" s="264"/>
      <c r="AK13" s="264"/>
    </row>
    <row r="14" spans="1:37" s="59" customFormat="1" ht="30" customHeight="1">
      <c r="A14" s="266" t="s">
        <v>205</v>
      </c>
      <c r="B14" s="180"/>
      <c r="C14" s="180"/>
      <c r="D14" s="180"/>
      <c r="E14" s="28"/>
      <c r="F14" s="154"/>
      <c r="G14" s="28"/>
      <c r="H14" s="264"/>
      <c r="I14" s="264"/>
      <c r="J14" s="264"/>
      <c r="K14" s="264"/>
      <c r="L14" s="264"/>
      <c r="M14" s="264"/>
      <c r="N14" s="264"/>
      <c r="O14" s="264"/>
      <c r="P14" s="264"/>
      <c r="Q14" s="264"/>
      <c r="R14" s="264"/>
      <c r="S14" s="264"/>
      <c r="T14" s="264"/>
      <c r="U14" s="264"/>
      <c r="V14" s="264"/>
      <c r="W14" s="264"/>
      <c r="X14" s="264"/>
      <c r="Y14" s="264"/>
      <c r="Z14" s="264"/>
      <c r="AA14" s="264"/>
      <c r="AB14" s="264"/>
      <c r="AC14" s="264"/>
      <c r="AD14" s="264"/>
      <c r="AE14" s="264"/>
      <c r="AF14" s="264"/>
      <c r="AG14" s="264"/>
      <c r="AH14" s="264"/>
      <c r="AI14" s="264"/>
      <c r="AJ14" s="264"/>
      <c r="AK14" s="264"/>
    </row>
    <row r="15" spans="1:37" s="59" customFormat="1" ht="15" customHeight="1">
      <c r="A15" s="46" t="s">
        <v>201</v>
      </c>
      <c r="B15" s="180">
        <f>'[1]Unpaid Loss Expense Reserves-14'!B22</f>
        <v>92073.26000000001</v>
      </c>
      <c r="C15" s="180">
        <f>'[1]Unpaid Loss Expense Reserves-14'!C22</f>
        <v>263967.21</v>
      </c>
      <c r="D15" s="28">
        <f>'[1]Unpaid Loss Expense Reserves-14'!D22</f>
        <v>56116.200000000004</v>
      </c>
      <c r="E15" s="154">
        <f>'[1]Unpaid Loss Expense Reserves-14'!E22</f>
        <v>0</v>
      </c>
      <c r="F15" s="28">
        <f>SUM(B15:E15)-1</f>
        <v>412155.67000000004</v>
      </c>
      <c r="G15" s="28"/>
      <c r="H15" s="264"/>
      <c r="I15" s="264"/>
      <c r="J15" s="264"/>
      <c r="K15" s="264"/>
      <c r="L15" s="264"/>
      <c r="M15" s="264"/>
      <c r="N15" s="264"/>
      <c r="O15" s="264"/>
      <c r="P15" s="264"/>
      <c r="Q15" s="264"/>
      <c r="R15" s="264"/>
      <c r="S15" s="264"/>
      <c r="T15" s="264"/>
      <c r="U15" s="264"/>
      <c r="V15" s="264"/>
      <c r="W15" s="264"/>
      <c r="X15" s="264"/>
      <c r="Y15" s="264"/>
      <c r="Z15" s="264"/>
      <c r="AA15" s="264"/>
      <c r="AB15" s="264"/>
      <c r="AC15" s="264"/>
      <c r="AD15" s="264"/>
      <c r="AE15" s="264"/>
      <c r="AF15" s="264"/>
      <c r="AG15" s="264"/>
      <c r="AH15" s="264"/>
      <c r="AI15" s="264"/>
      <c r="AJ15" s="264"/>
      <c r="AK15" s="264"/>
    </row>
    <row r="16" spans="1:37" s="59" customFormat="1" ht="15" customHeight="1">
      <c r="A16" s="59" t="s">
        <v>200</v>
      </c>
      <c r="B16" s="180">
        <f>'[1]Unpaid Loss Expense Reserves-14'!B23</f>
        <v>1603.48</v>
      </c>
      <c r="C16" s="180">
        <f>'[1]Unpaid Loss Expense Reserves-14'!C23</f>
        <v>36303.86</v>
      </c>
      <c r="D16" s="180">
        <f>'[1]Unpaid Loss Expense Reserves-14'!D23</f>
        <v>576.95</v>
      </c>
      <c r="E16" s="154">
        <f>'[1]Unpaid Loss Expense Reserves-14'!E23</f>
        <v>0</v>
      </c>
      <c r="F16" s="28">
        <f>SUM(B16:E16)</f>
        <v>38484.29</v>
      </c>
      <c r="G16" s="28"/>
      <c r="H16" s="264"/>
      <c r="I16" s="264"/>
      <c r="J16" s="264"/>
      <c r="K16" s="264"/>
      <c r="L16" s="264"/>
      <c r="M16" s="264"/>
      <c r="N16" s="264"/>
      <c r="O16" s="264"/>
      <c r="P16" s="264"/>
      <c r="Q16" s="264"/>
      <c r="R16" s="264"/>
      <c r="S16" s="264"/>
      <c r="T16" s="264"/>
      <c r="U16" s="264"/>
      <c r="V16" s="264"/>
      <c r="W16" s="264"/>
      <c r="X16" s="264"/>
      <c r="Y16" s="264"/>
      <c r="Z16" s="264"/>
      <c r="AA16" s="264"/>
      <c r="AB16" s="264"/>
      <c r="AC16" s="264"/>
      <c r="AD16" s="264"/>
      <c r="AE16" s="264"/>
      <c r="AF16" s="264"/>
      <c r="AG16" s="264"/>
      <c r="AH16" s="264"/>
      <c r="AI16" s="264"/>
      <c r="AJ16" s="264"/>
      <c r="AK16" s="264"/>
    </row>
    <row r="17" spans="1:37" s="59" customFormat="1" ht="15" customHeight="1">
      <c r="A17" s="59" t="s">
        <v>199</v>
      </c>
      <c r="B17" s="154">
        <f>'[1]Unpaid Loss Expense Reserves-14'!B24</f>
        <v>0</v>
      </c>
      <c r="C17" s="154">
        <f>'[1]Unpaid Loss Expense Reserves-14'!C24</f>
        <v>0</v>
      </c>
      <c r="D17" s="154">
        <f>'[1]Unpaid Loss Expense Reserves-14'!D24</f>
        <v>0</v>
      </c>
      <c r="E17" s="154">
        <f>'[1]Unpaid Loss Expense Reserves-14'!E24</f>
        <v>0</v>
      </c>
      <c r="F17" s="154">
        <f>SUM(B17:E17)</f>
        <v>0</v>
      </c>
      <c r="G17" s="28"/>
      <c r="H17" s="264"/>
      <c r="I17" s="264"/>
      <c r="J17" s="264"/>
      <c r="K17" s="264"/>
      <c r="L17" s="264"/>
      <c r="M17" s="264"/>
      <c r="N17" s="264"/>
      <c r="O17" s="264"/>
      <c r="P17" s="264"/>
      <c r="Q17" s="264"/>
      <c r="R17" s="264"/>
      <c r="S17" s="264"/>
      <c r="T17" s="264"/>
      <c r="U17" s="264"/>
      <c r="V17" s="264"/>
      <c r="W17" s="264"/>
      <c r="X17" s="264"/>
      <c r="Y17" s="264"/>
      <c r="Z17" s="264"/>
      <c r="AA17" s="264"/>
      <c r="AB17" s="264"/>
      <c r="AC17" s="264"/>
      <c r="AD17" s="264"/>
      <c r="AE17" s="264"/>
      <c r="AF17" s="264"/>
      <c r="AG17" s="264"/>
      <c r="AH17" s="264"/>
      <c r="AI17" s="264"/>
      <c r="AJ17" s="264"/>
      <c r="AK17" s="264"/>
    </row>
    <row r="18" spans="1:37" s="59" customFormat="1" ht="15" customHeight="1" thickBot="1">
      <c r="A18" s="272" t="s">
        <v>162</v>
      </c>
      <c r="B18" s="271">
        <f>SUM(B15:B17)-1</f>
        <v>93675.74</v>
      </c>
      <c r="C18" s="271">
        <f>SUM(C15:C17)</f>
        <v>300271.07</v>
      </c>
      <c r="D18" s="271">
        <f>SUM(D15:D17)</f>
        <v>56693.15</v>
      </c>
      <c r="E18" s="275">
        <f>SUM(E15:E17)</f>
        <v>0</v>
      </c>
      <c r="F18" s="186">
        <f>SUM(F15:F17)</f>
        <v>450639.96</v>
      </c>
      <c r="G18" s="154"/>
      <c r="H18" s="264"/>
      <c r="I18" s="264"/>
      <c r="J18" s="264"/>
      <c r="K18" s="264"/>
      <c r="L18" s="264"/>
      <c r="M18" s="264"/>
      <c r="N18" s="264"/>
      <c r="O18" s="264"/>
      <c r="P18" s="264"/>
      <c r="Q18" s="264"/>
      <c r="R18" s="264"/>
      <c r="S18" s="264"/>
      <c r="T18" s="264"/>
      <c r="U18" s="264"/>
      <c r="V18" s="264"/>
      <c r="W18" s="264"/>
      <c r="X18" s="264"/>
      <c r="Y18" s="264"/>
      <c r="Z18" s="264"/>
      <c r="AA18" s="264"/>
      <c r="AB18" s="264"/>
      <c r="AC18" s="264"/>
      <c r="AD18" s="264"/>
      <c r="AE18" s="264"/>
      <c r="AF18" s="264"/>
      <c r="AG18" s="264"/>
      <c r="AH18" s="264"/>
      <c r="AI18" s="264"/>
      <c r="AJ18" s="264"/>
      <c r="AK18" s="264"/>
    </row>
    <row r="19" spans="2:37" s="59" customFormat="1" ht="15" customHeight="1" thickTop="1">
      <c r="B19" s="180"/>
      <c r="C19" s="180"/>
      <c r="D19" s="180"/>
      <c r="E19" s="28"/>
      <c r="F19" s="47"/>
      <c r="G19" s="274"/>
      <c r="H19" s="264"/>
      <c r="I19" s="264"/>
      <c r="J19" s="264"/>
      <c r="K19" s="264"/>
      <c r="L19" s="264"/>
      <c r="M19" s="264"/>
      <c r="N19" s="264"/>
      <c r="O19" s="264"/>
      <c r="P19" s="264"/>
      <c r="Q19" s="264"/>
      <c r="R19" s="264"/>
      <c r="S19" s="264"/>
      <c r="T19" s="264"/>
      <c r="U19" s="264"/>
      <c r="V19" s="264"/>
      <c r="W19" s="264"/>
      <c r="X19" s="264"/>
      <c r="Y19" s="264"/>
      <c r="Z19" s="264"/>
      <c r="AA19" s="264"/>
      <c r="AB19" s="264"/>
      <c r="AC19" s="264"/>
      <c r="AD19" s="264"/>
      <c r="AE19" s="264"/>
      <c r="AF19" s="264"/>
      <c r="AG19" s="264"/>
      <c r="AH19" s="264"/>
      <c r="AI19" s="264"/>
      <c r="AJ19" s="264"/>
      <c r="AK19" s="264"/>
    </row>
    <row r="20" spans="1:37" s="59" customFormat="1" ht="30" customHeight="1">
      <c r="A20" s="266" t="s">
        <v>204</v>
      </c>
      <c r="B20" s="189"/>
      <c r="C20" s="189"/>
      <c r="D20" s="189"/>
      <c r="E20" s="273"/>
      <c r="F20" s="154"/>
      <c r="G20" s="28"/>
      <c r="H20" s="264"/>
      <c r="I20" s="264"/>
      <c r="J20" s="264"/>
      <c r="K20" s="264"/>
      <c r="L20" s="264"/>
      <c r="M20" s="264"/>
      <c r="N20" s="264"/>
      <c r="O20" s="264"/>
      <c r="P20" s="264"/>
      <c r="Q20" s="264"/>
      <c r="R20" s="264"/>
      <c r="S20" s="264"/>
      <c r="T20" s="264"/>
      <c r="U20" s="264"/>
      <c r="V20" s="264"/>
      <c r="W20" s="264"/>
      <c r="X20" s="264"/>
      <c r="Y20" s="264"/>
      <c r="Z20" s="264"/>
      <c r="AA20" s="264"/>
      <c r="AB20" s="264"/>
      <c r="AC20" s="264"/>
      <c r="AD20" s="264"/>
      <c r="AE20" s="264"/>
      <c r="AF20" s="264"/>
      <c r="AG20" s="264"/>
      <c r="AH20" s="264"/>
      <c r="AI20" s="264"/>
      <c r="AJ20" s="264"/>
      <c r="AK20" s="264"/>
    </row>
    <row r="21" spans="1:37" s="59" customFormat="1" ht="15" customHeight="1">
      <c r="A21" s="46" t="s">
        <v>201</v>
      </c>
      <c r="B21" s="180">
        <v>16032.169999999998</v>
      </c>
      <c r="C21" s="180">
        <v>329550.45</v>
      </c>
      <c r="D21" s="179">
        <v>56685.719999999994</v>
      </c>
      <c r="E21" s="28">
        <v>4958.639999999999</v>
      </c>
      <c r="F21" s="28">
        <f>SUM(B21:E21)</f>
        <v>407226.98</v>
      </c>
      <c r="G21" s="28"/>
      <c r="H21" s="264"/>
      <c r="I21" s="264"/>
      <c r="J21" s="264"/>
      <c r="K21" s="264"/>
      <c r="L21" s="264"/>
      <c r="M21" s="264"/>
      <c r="N21" s="264"/>
      <c r="O21" s="264"/>
      <c r="P21" s="264"/>
      <c r="Q21" s="264"/>
      <c r="R21" s="264"/>
      <c r="S21" s="264"/>
      <c r="T21" s="264"/>
      <c r="U21" s="264"/>
      <c r="V21" s="264"/>
      <c r="W21" s="264"/>
      <c r="X21" s="264"/>
      <c r="Y21" s="264"/>
      <c r="Z21" s="264"/>
      <c r="AA21" s="264"/>
      <c r="AB21" s="264"/>
      <c r="AC21" s="264"/>
      <c r="AD21" s="264"/>
      <c r="AE21" s="264"/>
      <c r="AF21" s="264"/>
      <c r="AG21" s="264"/>
      <c r="AH21" s="264"/>
      <c r="AI21" s="264"/>
      <c r="AJ21" s="264"/>
      <c r="AK21" s="264"/>
    </row>
    <row r="22" spans="1:37" s="59" customFormat="1" ht="15" customHeight="1">
      <c r="A22" s="59" t="s">
        <v>203</v>
      </c>
      <c r="B22" s="180">
        <v>2063.36</v>
      </c>
      <c r="C22" s="180">
        <v>93370.01999999999</v>
      </c>
      <c r="D22" s="179">
        <v>22365.05</v>
      </c>
      <c r="E22" s="28">
        <v>19838.559999999998</v>
      </c>
      <c r="F22" s="28">
        <f>SUM(B22:E22)</f>
        <v>137636.99</v>
      </c>
      <c r="G22" s="28"/>
      <c r="H22" s="264"/>
      <c r="I22" s="264"/>
      <c r="J22" s="264"/>
      <c r="K22" s="264"/>
      <c r="L22" s="264"/>
      <c r="M22" s="264"/>
      <c r="N22" s="264"/>
      <c r="O22" s="264"/>
      <c r="P22" s="264"/>
      <c r="Q22" s="264"/>
      <c r="R22" s="264"/>
      <c r="S22" s="264"/>
      <c r="T22" s="264"/>
      <c r="U22" s="264"/>
      <c r="V22" s="264"/>
      <c r="W22" s="264"/>
      <c r="X22" s="264"/>
      <c r="Y22" s="264"/>
      <c r="Z22" s="264"/>
      <c r="AA22" s="264"/>
      <c r="AB22" s="264"/>
      <c r="AC22" s="264"/>
      <c r="AD22" s="264"/>
      <c r="AE22" s="264"/>
      <c r="AF22" s="264"/>
      <c r="AG22" s="264"/>
      <c r="AH22" s="264"/>
      <c r="AI22" s="264"/>
      <c r="AJ22" s="264"/>
      <c r="AK22" s="264"/>
    </row>
    <row r="23" spans="1:37" s="59" customFormat="1" ht="15" customHeight="1">
      <c r="A23" s="59" t="s">
        <v>199</v>
      </c>
      <c r="B23" s="154">
        <v>0</v>
      </c>
      <c r="C23" s="180">
        <v>1804.71</v>
      </c>
      <c r="D23" s="154">
        <v>0</v>
      </c>
      <c r="E23" s="154">
        <v>0</v>
      </c>
      <c r="F23" s="28">
        <f>SUM(B23:E23)</f>
        <v>1804.71</v>
      </c>
      <c r="G23" s="28"/>
      <c r="H23" s="264"/>
      <c r="I23" s="264"/>
      <c r="J23" s="264"/>
      <c r="K23" s="264"/>
      <c r="L23" s="264"/>
      <c r="M23" s="264"/>
      <c r="N23" s="264"/>
      <c r="O23" s="264"/>
      <c r="P23" s="264"/>
      <c r="Q23" s="264"/>
      <c r="R23" s="264"/>
      <c r="S23" s="264"/>
      <c r="T23" s="264"/>
      <c r="U23" s="264"/>
      <c r="V23" s="264"/>
      <c r="W23" s="264"/>
      <c r="X23" s="264"/>
      <c r="Y23" s="264"/>
      <c r="Z23" s="264"/>
      <c r="AA23" s="264"/>
      <c r="AB23" s="264"/>
      <c r="AC23" s="264"/>
      <c r="AD23" s="264"/>
      <c r="AE23" s="264"/>
      <c r="AF23" s="264"/>
      <c r="AG23" s="264"/>
      <c r="AH23" s="264"/>
      <c r="AI23" s="264"/>
      <c r="AJ23" s="264"/>
      <c r="AK23" s="264"/>
    </row>
    <row r="24" spans="1:37" s="59" customFormat="1" ht="15" customHeight="1" thickBot="1">
      <c r="A24" s="272" t="s">
        <v>162</v>
      </c>
      <c r="B24" s="271">
        <f>SUM(B21:B23)-1</f>
        <v>18094.53</v>
      </c>
      <c r="C24" s="271">
        <f>SUM(C21:C23)</f>
        <v>424725.18</v>
      </c>
      <c r="D24" s="271">
        <f>SUM(D21:D23)</f>
        <v>79050.76999999999</v>
      </c>
      <c r="E24" s="270">
        <f>SUM(E21:E23)+1</f>
        <v>24798.199999999997</v>
      </c>
      <c r="F24" s="186">
        <f>SUM(F21:F23)</f>
        <v>546668.6799999999</v>
      </c>
      <c r="G24" s="154"/>
      <c r="H24" s="264"/>
      <c r="I24" s="264"/>
      <c r="J24" s="264"/>
      <c r="K24" s="264"/>
      <c r="L24" s="264"/>
      <c r="M24" s="264"/>
      <c r="N24" s="264"/>
      <c r="O24" s="264"/>
      <c r="P24" s="264"/>
      <c r="Q24" s="264"/>
      <c r="R24" s="264"/>
      <c r="S24" s="264"/>
      <c r="T24" s="264"/>
      <c r="U24" s="264"/>
      <c r="V24" s="264"/>
      <c r="W24" s="264"/>
      <c r="X24" s="264"/>
      <c r="Y24" s="264"/>
      <c r="Z24" s="264"/>
      <c r="AA24" s="264"/>
      <c r="AB24" s="264"/>
      <c r="AC24" s="264"/>
      <c r="AD24" s="264"/>
      <c r="AE24" s="264"/>
      <c r="AF24" s="264"/>
      <c r="AG24" s="264"/>
      <c r="AH24" s="264"/>
      <c r="AI24" s="264"/>
      <c r="AJ24" s="264"/>
      <c r="AK24" s="264"/>
    </row>
    <row r="25" spans="2:37" s="267" customFormat="1" ht="15" customHeight="1" thickTop="1">
      <c r="B25" s="189"/>
      <c r="C25" s="189"/>
      <c r="D25" s="189"/>
      <c r="E25" s="189"/>
      <c r="F25" s="189"/>
      <c r="G25" s="269"/>
      <c r="H25" s="268"/>
      <c r="I25" s="268"/>
      <c r="J25" s="268"/>
      <c r="K25" s="268"/>
      <c r="L25" s="268"/>
      <c r="M25" s="268"/>
      <c r="N25" s="268"/>
      <c r="O25" s="268"/>
      <c r="P25" s="268"/>
      <c r="Q25" s="268"/>
      <c r="R25" s="268"/>
      <c r="S25" s="268"/>
      <c r="T25" s="268"/>
      <c r="U25" s="268"/>
      <c r="V25" s="268"/>
      <c r="W25" s="268"/>
      <c r="X25" s="268"/>
      <c r="Y25" s="268"/>
      <c r="Z25" s="268"/>
      <c r="AA25" s="268"/>
      <c r="AB25" s="268"/>
      <c r="AC25" s="268"/>
      <c r="AD25" s="268"/>
      <c r="AE25" s="268"/>
      <c r="AF25" s="268"/>
      <c r="AG25" s="268"/>
      <c r="AH25" s="268"/>
      <c r="AI25" s="268"/>
      <c r="AJ25" s="268"/>
      <c r="AK25" s="268"/>
    </row>
    <row r="26" spans="1:37" s="59" customFormat="1" ht="30" customHeight="1">
      <c r="A26" s="266" t="s">
        <v>202</v>
      </c>
      <c r="B26" s="180"/>
      <c r="C26" s="180"/>
      <c r="D26" s="180"/>
      <c r="E26" s="180"/>
      <c r="F26" s="180"/>
      <c r="G26" s="28"/>
      <c r="H26" s="264"/>
      <c r="I26" s="264"/>
      <c r="J26" s="264"/>
      <c r="K26" s="264"/>
      <c r="L26" s="264"/>
      <c r="M26" s="264"/>
      <c r="N26" s="264"/>
      <c r="O26" s="264"/>
      <c r="P26" s="264"/>
      <c r="Q26" s="264"/>
      <c r="R26" s="264"/>
      <c r="S26" s="264"/>
      <c r="T26" s="264"/>
      <c r="U26" s="264"/>
      <c r="V26" s="264"/>
      <c r="W26" s="264"/>
      <c r="X26" s="264"/>
      <c r="Y26" s="264"/>
      <c r="Z26" s="264"/>
      <c r="AA26" s="264"/>
      <c r="AB26" s="264"/>
      <c r="AC26" s="264"/>
      <c r="AD26" s="264"/>
      <c r="AE26" s="264"/>
      <c r="AF26" s="264"/>
      <c r="AG26" s="264"/>
      <c r="AH26" s="264"/>
      <c r="AI26" s="264"/>
      <c r="AJ26" s="264"/>
      <c r="AK26" s="264"/>
    </row>
    <row r="27" spans="1:37" s="59" customFormat="1" ht="15" customHeight="1">
      <c r="A27" s="59" t="s">
        <v>201</v>
      </c>
      <c r="B27" s="28">
        <f aca="true" t="shared" si="0" ref="B27:C29">B9+B15-B21</f>
        <v>114842.34000000001</v>
      </c>
      <c r="C27" s="265">
        <f t="shared" si="0"/>
        <v>81607.09000000003</v>
      </c>
      <c r="D27" s="265">
        <f>D9+D15-D21-1</f>
        <v>18045.530000000006</v>
      </c>
      <c r="E27" s="265">
        <f>E9+E15-E21</f>
        <v>-4958.639999999999</v>
      </c>
      <c r="F27" s="28">
        <f>SUM(B27:E27)</f>
        <v>209536.32000000007</v>
      </c>
      <c r="G27" s="28"/>
      <c r="H27" s="264"/>
      <c r="I27" s="264"/>
      <c r="J27" s="264"/>
      <c r="K27" s="264"/>
      <c r="L27" s="264"/>
      <c r="M27" s="264"/>
      <c r="N27" s="264"/>
      <c r="O27" s="264"/>
      <c r="P27" s="264"/>
      <c r="Q27" s="264"/>
      <c r="R27" s="264"/>
      <c r="S27" s="264"/>
      <c r="T27" s="264"/>
      <c r="U27" s="264"/>
      <c r="V27" s="264"/>
      <c r="W27" s="264"/>
      <c r="X27" s="264"/>
      <c r="Y27" s="264"/>
      <c r="Z27" s="264"/>
      <c r="AA27" s="264"/>
      <c r="AB27" s="264"/>
      <c r="AC27" s="264"/>
      <c r="AD27" s="264"/>
      <c r="AE27" s="264"/>
      <c r="AF27" s="264"/>
      <c r="AG27" s="264"/>
      <c r="AH27" s="264"/>
      <c r="AI27" s="264"/>
      <c r="AJ27" s="264"/>
      <c r="AK27" s="264"/>
    </row>
    <row r="28" spans="1:37" s="59" customFormat="1" ht="15" customHeight="1">
      <c r="A28" s="59" t="s">
        <v>200</v>
      </c>
      <c r="B28" s="28">
        <f t="shared" si="0"/>
        <v>8734.679999999998</v>
      </c>
      <c r="C28" s="265">
        <f t="shared" si="0"/>
        <v>2588.7600000000093</v>
      </c>
      <c r="D28" s="265">
        <f>D10+D16-D22</f>
        <v>-6004.779999999999</v>
      </c>
      <c r="E28" s="265">
        <f>E10+E16-E22</f>
        <v>-19838.559999999998</v>
      </c>
      <c r="F28" s="265">
        <f>SUM(B28:E28)</f>
        <v>-14519.899999999989</v>
      </c>
      <c r="G28" s="28"/>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row>
    <row r="29" spans="1:37" s="59" customFormat="1" ht="15" customHeight="1">
      <c r="A29" s="59" t="s">
        <v>199</v>
      </c>
      <c r="B29" s="154">
        <f t="shared" si="0"/>
        <v>0</v>
      </c>
      <c r="C29" s="265">
        <f t="shared" si="0"/>
        <v>-1674.8200000000002</v>
      </c>
      <c r="D29" s="154">
        <f>D11+D17-D23</f>
        <v>0</v>
      </c>
      <c r="E29" s="154">
        <f>E11+E17-E23</f>
        <v>0</v>
      </c>
      <c r="F29" s="265">
        <f>SUM(B29:E29)</f>
        <v>-1674.8200000000002</v>
      </c>
      <c r="G29" s="28"/>
      <c r="H29" s="264"/>
      <c r="I29" s="264"/>
      <c r="J29" s="264"/>
      <c r="K29" s="264"/>
      <c r="L29" s="264"/>
      <c r="M29" s="264"/>
      <c r="N29" s="264"/>
      <c r="O29" s="264"/>
      <c r="P29" s="264"/>
      <c r="Q29" s="264"/>
      <c r="R29" s="264"/>
      <c r="S29" s="264"/>
      <c r="T29" s="264"/>
      <c r="U29" s="264"/>
      <c r="V29" s="264"/>
      <c r="W29" s="264"/>
      <c r="X29" s="264"/>
      <c r="Y29" s="264"/>
      <c r="Z29" s="264"/>
      <c r="AA29" s="264"/>
      <c r="AB29" s="264"/>
      <c r="AC29" s="264"/>
      <c r="AD29" s="264"/>
      <c r="AE29" s="264"/>
      <c r="AF29" s="264"/>
      <c r="AG29" s="264"/>
      <c r="AH29" s="264"/>
      <c r="AI29" s="264"/>
      <c r="AJ29" s="264"/>
      <c r="AK29" s="264"/>
    </row>
    <row r="30" spans="1:37" ht="15" customHeight="1" thickBot="1">
      <c r="A30" s="74" t="s">
        <v>162</v>
      </c>
      <c r="B30" s="263">
        <f>SUM(B27:B29)</f>
        <v>123577.02</v>
      </c>
      <c r="C30" s="263">
        <f>SUM(C27:C29)</f>
        <v>82521.03000000003</v>
      </c>
      <c r="D30" s="263">
        <f>SUM(D27:D29)</f>
        <v>12040.750000000007</v>
      </c>
      <c r="E30" s="263">
        <f>SUM(E27:E29)-1</f>
        <v>-24798.199999999997</v>
      </c>
      <c r="F30" s="263">
        <f>SUM(F27:F29)-1</f>
        <v>193340.60000000006</v>
      </c>
      <c r="G30" s="28"/>
      <c r="H30" s="261"/>
      <c r="I30" s="261"/>
      <c r="J30" s="261"/>
      <c r="K30" s="261"/>
      <c r="L30" s="261"/>
      <c r="M30" s="261"/>
      <c r="N30" s="261"/>
      <c r="O30" s="261"/>
      <c r="P30" s="261"/>
      <c r="Q30" s="261"/>
      <c r="R30" s="261"/>
      <c r="S30" s="261"/>
      <c r="T30" s="261"/>
      <c r="U30" s="261"/>
      <c r="V30" s="261"/>
      <c r="W30" s="261"/>
      <c r="X30" s="261"/>
      <c r="Y30" s="261"/>
      <c r="Z30" s="261"/>
      <c r="AA30" s="261"/>
      <c r="AB30" s="261"/>
      <c r="AC30" s="261"/>
      <c r="AD30" s="261"/>
      <c r="AE30" s="261"/>
      <c r="AF30" s="261"/>
      <c r="AG30" s="261"/>
      <c r="AH30" s="261"/>
      <c r="AI30" s="261"/>
      <c r="AJ30" s="261"/>
      <c r="AK30" s="261"/>
    </row>
    <row r="31" spans="2:38" ht="15" customHeight="1" thickTop="1">
      <c r="B31" s="171"/>
      <c r="C31" s="171"/>
      <c r="D31" s="171"/>
      <c r="F31" s="28"/>
      <c r="H31" s="262"/>
      <c r="I31" s="261"/>
      <c r="J31" s="261"/>
      <c r="K31" s="261"/>
      <c r="L31" s="261"/>
      <c r="M31" s="261"/>
      <c r="N31" s="261"/>
      <c r="O31" s="261"/>
      <c r="P31" s="261"/>
      <c r="Q31" s="261"/>
      <c r="R31" s="261"/>
      <c r="S31" s="261"/>
      <c r="T31" s="261"/>
      <c r="U31" s="261"/>
      <c r="V31" s="261"/>
      <c r="W31" s="261"/>
      <c r="X31" s="261"/>
      <c r="Y31" s="261"/>
      <c r="Z31" s="261"/>
      <c r="AA31" s="261"/>
      <c r="AB31" s="261"/>
      <c r="AC31" s="261"/>
      <c r="AD31" s="261"/>
      <c r="AE31" s="261"/>
      <c r="AF31" s="261"/>
      <c r="AG31" s="261"/>
      <c r="AH31" s="261"/>
      <c r="AI31" s="261"/>
      <c r="AJ31" s="261"/>
      <c r="AK31" s="261"/>
      <c r="AL31" s="261"/>
    </row>
    <row r="32" spans="2:38" s="47" customFormat="1" ht="15" customHeight="1">
      <c r="B32" s="171"/>
      <c r="C32" s="171"/>
      <c r="D32" s="171"/>
      <c r="G32" s="28"/>
      <c r="H32" s="28"/>
      <c r="I32" s="28"/>
      <c r="J32" s="28"/>
      <c r="K32" s="28"/>
      <c r="L32" s="28"/>
      <c r="M32" s="28"/>
      <c r="N32" s="28"/>
      <c r="O32" s="28"/>
      <c r="P32" s="28"/>
      <c r="Q32" s="28"/>
      <c r="R32" s="28"/>
      <c r="S32" s="28"/>
      <c r="T32" s="28"/>
      <c r="U32" s="28"/>
      <c r="V32" s="28"/>
      <c r="W32" s="28"/>
      <c r="X32" s="28"/>
      <c r="Y32" s="28"/>
      <c r="Z32" s="28"/>
      <c r="AA32" s="28"/>
      <c r="AB32" s="28"/>
      <c r="AC32" s="28"/>
      <c r="AD32" s="28"/>
      <c r="AE32" s="28"/>
      <c r="AF32" s="28"/>
      <c r="AG32" s="28"/>
      <c r="AH32" s="28"/>
      <c r="AI32" s="28"/>
      <c r="AJ32" s="28"/>
      <c r="AK32" s="28"/>
      <c r="AL32" s="28"/>
    </row>
    <row r="33" spans="2:38" ht="15" customHeight="1">
      <c r="B33" s="171"/>
      <c r="C33" s="171"/>
      <c r="D33" s="171"/>
      <c r="F33" s="28"/>
      <c r="G33" s="28"/>
      <c r="H33" s="261"/>
      <c r="I33" s="261"/>
      <c r="J33" s="261"/>
      <c r="K33" s="261"/>
      <c r="L33" s="261"/>
      <c r="M33" s="261"/>
      <c r="N33" s="261"/>
      <c r="O33" s="261"/>
      <c r="P33" s="261"/>
      <c r="Q33" s="261"/>
      <c r="R33" s="261"/>
      <c r="S33" s="261"/>
      <c r="T33" s="261"/>
      <c r="U33" s="261"/>
      <c r="V33" s="261"/>
      <c r="W33" s="261"/>
      <c r="X33" s="261"/>
      <c r="Y33" s="261"/>
      <c r="Z33" s="261"/>
      <c r="AA33" s="261"/>
      <c r="AB33" s="261"/>
      <c r="AC33" s="261"/>
      <c r="AD33" s="261"/>
      <c r="AE33" s="261"/>
      <c r="AF33" s="261"/>
      <c r="AG33" s="261"/>
      <c r="AH33" s="261"/>
      <c r="AI33" s="261"/>
      <c r="AJ33" s="261"/>
      <c r="AK33" s="261"/>
      <c r="AL33" s="261"/>
    </row>
    <row r="34" spans="2:38" ht="15" customHeight="1">
      <c r="B34" s="171"/>
      <c r="C34" s="171"/>
      <c r="D34" s="171"/>
      <c r="F34" s="28"/>
      <c r="G34" s="28"/>
      <c r="H34" s="261"/>
      <c r="I34" s="261"/>
      <c r="J34" s="261"/>
      <c r="K34" s="261"/>
      <c r="L34" s="261"/>
      <c r="M34" s="261"/>
      <c r="N34" s="261"/>
      <c r="O34" s="261"/>
      <c r="P34" s="261"/>
      <c r="Q34" s="261"/>
      <c r="R34" s="261"/>
      <c r="S34" s="261"/>
      <c r="T34" s="261"/>
      <c r="U34" s="261"/>
      <c r="V34" s="261"/>
      <c r="W34" s="261"/>
      <c r="X34" s="261"/>
      <c r="Y34" s="261"/>
      <c r="Z34" s="261"/>
      <c r="AA34" s="261"/>
      <c r="AB34" s="261"/>
      <c r="AC34" s="261"/>
      <c r="AD34" s="261"/>
      <c r="AE34" s="261"/>
      <c r="AF34" s="261"/>
      <c r="AG34" s="261"/>
      <c r="AH34" s="261"/>
      <c r="AI34" s="261"/>
      <c r="AJ34" s="261"/>
      <c r="AK34" s="261"/>
      <c r="AL34" s="261"/>
    </row>
    <row r="35" spans="2:38" ht="15" customHeight="1">
      <c r="B35" s="171"/>
      <c r="C35" s="171"/>
      <c r="D35" s="171"/>
      <c r="F35" s="28"/>
      <c r="G35" s="28"/>
      <c r="H35" s="261"/>
      <c r="I35" s="261"/>
      <c r="J35" s="261"/>
      <c r="K35" s="261"/>
      <c r="L35" s="261"/>
      <c r="M35" s="261"/>
      <c r="N35" s="261"/>
      <c r="O35" s="261"/>
      <c r="P35" s="261"/>
      <c r="Q35" s="261"/>
      <c r="R35" s="261"/>
      <c r="S35" s="261"/>
      <c r="T35" s="261"/>
      <c r="U35" s="261"/>
      <c r="V35" s="261"/>
      <c r="W35" s="261"/>
      <c r="X35" s="261"/>
      <c r="Y35" s="261"/>
      <c r="Z35" s="261"/>
      <c r="AA35" s="261"/>
      <c r="AB35" s="261"/>
      <c r="AC35" s="261"/>
      <c r="AD35" s="261"/>
      <c r="AE35" s="261"/>
      <c r="AF35" s="261"/>
      <c r="AG35" s="261"/>
      <c r="AH35" s="261"/>
      <c r="AI35" s="261"/>
      <c r="AJ35" s="261"/>
      <c r="AK35" s="261"/>
      <c r="AL35" s="261"/>
    </row>
    <row r="36" spans="2:38" ht="15" customHeight="1">
      <c r="B36" s="171"/>
      <c r="C36" s="171"/>
      <c r="D36" s="171"/>
      <c r="F36" s="28"/>
      <c r="G36" s="28"/>
      <c r="H36" s="261"/>
      <c r="I36" s="261"/>
      <c r="J36" s="261"/>
      <c r="K36" s="261"/>
      <c r="L36" s="261"/>
      <c r="M36" s="261"/>
      <c r="N36" s="261"/>
      <c r="O36" s="261"/>
      <c r="P36" s="261"/>
      <c r="Q36" s="261"/>
      <c r="R36" s="261"/>
      <c r="S36" s="261"/>
      <c r="T36" s="261"/>
      <c r="U36" s="261"/>
      <c r="V36" s="261"/>
      <c r="W36" s="261"/>
      <c r="X36" s="261"/>
      <c r="Y36" s="261"/>
      <c r="Z36" s="261"/>
      <c r="AA36" s="261"/>
      <c r="AB36" s="261"/>
      <c r="AC36" s="261"/>
      <c r="AD36" s="261"/>
      <c r="AE36" s="261"/>
      <c r="AF36" s="261"/>
      <c r="AG36" s="261"/>
      <c r="AH36" s="261"/>
      <c r="AI36" s="261"/>
      <c r="AJ36" s="261"/>
      <c r="AK36" s="261"/>
      <c r="AL36" s="261"/>
    </row>
    <row r="37" spans="2:38" ht="15" customHeight="1">
      <c r="B37" s="171"/>
      <c r="C37" s="171"/>
      <c r="D37" s="171"/>
      <c r="F37" s="28"/>
      <c r="G37" s="28"/>
      <c r="H37" s="261"/>
      <c r="I37" s="261"/>
      <c r="J37" s="261"/>
      <c r="K37" s="261"/>
      <c r="L37" s="261"/>
      <c r="M37" s="261"/>
      <c r="N37" s="261"/>
      <c r="O37" s="261"/>
      <c r="P37" s="261"/>
      <c r="Q37" s="261"/>
      <c r="R37" s="261"/>
      <c r="S37" s="261"/>
      <c r="T37" s="261"/>
      <c r="U37" s="261"/>
      <c r="V37" s="261"/>
      <c r="W37" s="261"/>
      <c r="X37" s="261"/>
      <c r="Y37" s="261"/>
      <c r="Z37" s="261"/>
      <c r="AA37" s="261"/>
      <c r="AB37" s="261"/>
      <c r="AC37" s="261"/>
      <c r="AD37" s="261"/>
      <c r="AE37" s="261"/>
      <c r="AF37" s="261"/>
      <c r="AG37" s="261"/>
      <c r="AH37" s="261"/>
      <c r="AI37" s="261"/>
      <c r="AJ37" s="261"/>
      <c r="AK37" s="261"/>
      <c r="AL37" s="261"/>
    </row>
    <row r="38" spans="6:38" ht="15" customHeight="1">
      <c r="F38" s="28"/>
      <c r="G38" s="28"/>
      <c r="H38" s="261"/>
      <c r="I38" s="261"/>
      <c r="J38" s="261"/>
      <c r="K38" s="261"/>
      <c r="L38" s="261"/>
      <c r="M38" s="261"/>
      <c r="N38" s="261"/>
      <c r="O38" s="261"/>
      <c r="P38" s="261"/>
      <c r="Q38" s="261"/>
      <c r="R38" s="261"/>
      <c r="S38" s="261"/>
      <c r="T38" s="261"/>
      <c r="U38" s="261"/>
      <c r="V38" s="261"/>
      <c r="W38" s="261"/>
      <c r="X38" s="261"/>
      <c r="Y38" s="261"/>
      <c r="Z38" s="261"/>
      <c r="AA38" s="261"/>
      <c r="AB38" s="261"/>
      <c r="AC38" s="261"/>
      <c r="AD38" s="261"/>
      <c r="AE38" s="261"/>
      <c r="AF38" s="261"/>
      <c r="AG38" s="261"/>
      <c r="AH38" s="261"/>
      <c r="AI38" s="261"/>
      <c r="AJ38" s="261"/>
      <c r="AK38" s="261"/>
      <c r="AL38" s="261"/>
    </row>
    <row r="39" spans="6:38" ht="15" customHeight="1">
      <c r="F39" s="28"/>
      <c r="G39" s="28"/>
      <c r="H39" s="261"/>
      <c r="I39" s="261"/>
      <c r="J39" s="261"/>
      <c r="K39" s="261"/>
      <c r="L39" s="261"/>
      <c r="M39" s="261"/>
      <c r="N39" s="261"/>
      <c r="O39" s="261"/>
      <c r="P39" s="261"/>
      <c r="Q39" s="261"/>
      <c r="R39" s="261"/>
      <c r="S39" s="261"/>
      <c r="T39" s="261"/>
      <c r="U39" s="261"/>
      <c r="V39" s="261"/>
      <c r="W39" s="261"/>
      <c r="X39" s="261"/>
      <c r="Y39" s="261"/>
      <c r="Z39" s="261"/>
      <c r="AA39" s="261"/>
      <c r="AB39" s="261"/>
      <c r="AC39" s="261"/>
      <c r="AD39" s="261"/>
      <c r="AE39" s="261"/>
      <c r="AF39" s="261"/>
      <c r="AG39" s="261"/>
      <c r="AH39" s="261"/>
      <c r="AI39" s="261"/>
      <c r="AJ39" s="261"/>
      <c r="AK39" s="261"/>
      <c r="AL39" s="261"/>
    </row>
    <row r="40" spans="6:38" ht="15" customHeight="1">
      <c r="F40" s="28"/>
      <c r="G40" s="28"/>
      <c r="H40" s="261"/>
      <c r="I40" s="261"/>
      <c r="J40" s="261"/>
      <c r="K40" s="261"/>
      <c r="L40" s="261"/>
      <c r="M40" s="261"/>
      <c r="N40" s="261"/>
      <c r="O40" s="261"/>
      <c r="P40" s="261"/>
      <c r="Q40" s="261"/>
      <c r="R40" s="261"/>
      <c r="S40" s="261"/>
      <c r="T40" s="261"/>
      <c r="U40" s="261"/>
      <c r="V40" s="261"/>
      <c r="W40" s="261"/>
      <c r="X40" s="261"/>
      <c r="Y40" s="261"/>
      <c r="Z40" s="261"/>
      <c r="AA40" s="261"/>
      <c r="AB40" s="261"/>
      <c r="AC40" s="261"/>
      <c r="AD40" s="261"/>
      <c r="AE40" s="261"/>
      <c r="AF40" s="261"/>
      <c r="AG40" s="261"/>
      <c r="AH40" s="261"/>
      <c r="AI40" s="261"/>
      <c r="AJ40" s="261"/>
      <c r="AK40" s="261"/>
      <c r="AL40" s="261"/>
    </row>
    <row r="41" spans="6:38" ht="15" customHeight="1">
      <c r="F41" s="28"/>
      <c r="G41" s="28"/>
      <c r="H41" s="261"/>
      <c r="I41" s="261"/>
      <c r="J41" s="261"/>
      <c r="K41" s="261"/>
      <c r="L41" s="261"/>
      <c r="M41" s="261"/>
      <c r="N41" s="261"/>
      <c r="O41" s="261"/>
      <c r="P41" s="261"/>
      <c r="Q41" s="261"/>
      <c r="R41" s="261"/>
      <c r="S41" s="261"/>
      <c r="T41" s="261"/>
      <c r="U41" s="261"/>
      <c r="V41" s="261"/>
      <c r="W41" s="261"/>
      <c r="X41" s="261"/>
      <c r="Y41" s="261"/>
      <c r="Z41" s="261"/>
      <c r="AA41" s="261"/>
      <c r="AB41" s="261"/>
      <c r="AC41" s="261"/>
      <c r="AD41" s="261"/>
      <c r="AE41" s="261"/>
      <c r="AF41" s="261"/>
      <c r="AG41" s="261"/>
      <c r="AH41" s="261"/>
      <c r="AI41" s="261"/>
      <c r="AJ41" s="261"/>
      <c r="AK41" s="261"/>
      <c r="AL41" s="261"/>
    </row>
    <row r="42" spans="6:38" ht="15" customHeight="1">
      <c r="F42" s="28"/>
      <c r="G42" s="28"/>
      <c r="H42" s="261"/>
      <c r="I42" s="261"/>
      <c r="J42" s="261"/>
      <c r="K42" s="261"/>
      <c r="L42" s="261"/>
      <c r="M42" s="261"/>
      <c r="N42" s="261"/>
      <c r="O42" s="261"/>
      <c r="P42" s="261"/>
      <c r="Q42" s="261"/>
      <c r="R42" s="261"/>
      <c r="S42" s="261"/>
      <c r="T42" s="261"/>
      <c r="U42" s="261"/>
      <c r="V42" s="261"/>
      <c r="W42" s="261"/>
      <c r="X42" s="261"/>
      <c r="Y42" s="261"/>
      <c r="Z42" s="261"/>
      <c r="AA42" s="261"/>
      <c r="AB42" s="261"/>
      <c r="AC42" s="261"/>
      <c r="AD42" s="261"/>
      <c r="AE42" s="261"/>
      <c r="AF42" s="261"/>
      <c r="AG42" s="261"/>
      <c r="AH42" s="261"/>
      <c r="AI42" s="261"/>
      <c r="AJ42" s="261"/>
      <c r="AK42" s="261"/>
      <c r="AL42" s="261"/>
    </row>
    <row r="43" spans="6:38" ht="15" customHeight="1">
      <c r="F43" s="28"/>
      <c r="G43" s="28"/>
      <c r="H43" s="261"/>
      <c r="I43" s="261"/>
      <c r="J43" s="261"/>
      <c r="K43" s="261"/>
      <c r="L43" s="261"/>
      <c r="M43" s="261"/>
      <c r="N43" s="261"/>
      <c r="O43" s="261"/>
      <c r="P43" s="261"/>
      <c r="Q43" s="261"/>
      <c r="R43" s="261"/>
      <c r="S43" s="261"/>
      <c r="T43" s="261"/>
      <c r="U43" s="261"/>
      <c r="V43" s="261"/>
      <c r="W43" s="261"/>
      <c r="X43" s="261"/>
      <c r="Y43" s="261"/>
      <c r="Z43" s="261"/>
      <c r="AA43" s="261"/>
      <c r="AB43" s="261"/>
      <c r="AC43" s="261"/>
      <c r="AD43" s="261"/>
      <c r="AE43" s="261"/>
      <c r="AF43" s="261"/>
      <c r="AG43" s="261"/>
      <c r="AH43" s="261"/>
      <c r="AI43" s="261"/>
      <c r="AJ43" s="261"/>
      <c r="AK43" s="261"/>
      <c r="AL43" s="261"/>
    </row>
    <row r="44" spans="6:38" ht="15" customHeight="1">
      <c r="F44" s="28"/>
      <c r="G44" s="28"/>
      <c r="H44" s="261"/>
      <c r="I44" s="261"/>
      <c r="J44" s="261"/>
      <c r="K44" s="261"/>
      <c r="L44" s="261"/>
      <c r="M44" s="261"/>
      <c r="N44" s="261"/>
      <c r="O44" s="261"/>
      <c r="P44" s="261"/>
      <c r="Q44" s="261"/>
      <c r="R44" s="261"/>
      <c r="S44" s="261"/>
      <c r="T44" s="261"/>
      <c r="U44" s="261"/>
      <c r="V44" s="261"/>
      <c r="W44" s="261"/>
      <c r="X44" s="261"/>
      <c r="Y44" s="261"/>
      <c r="Z44" s="261"/>
      <c r="AA44" s="261"/>
      <c r="AB44" s="261"/>
      <c r="AC44" s="261"/>
      <c r="AD44" s="261"/>
      <c r="AE44" s="261"/>
      <c r="AF44" s="261"/>
      <c r="AG44" s="261"/>
      <c r="AH44" s="261"/>
      <c r="AI44" s="261"/>
      <c r="AJ44" s="261"/>
      <c r="AK44" s="261"/>
      <c r="AL44" s="261"/>
    </row>
    <row r="45" spans="6:38" ht="15" customHeight="1">
      <c r="F45" s="28"/>
      <c r="G45" s="28"/>
      <c r="H45" s="261"/>
      <c r="I45" s="261"/>
      <c r="J45" s="261"/>
      <c r="K45" s="261"/>
      <c r="L45" s="261"/>
      <c r="M45" s="261"/>
      <c r="N45" s="261"/>
      <c r="O45" s="261"/>
      <c r="P45" s="261"/>
      <c r="Q45" s="261"/>
      <c r="R45" s="261"/>
      <c r="S45" s="261"/>
      <c r="T45" s="261"/>
      <c r="U45" s="261"/>
      <c r="V45" s="261"/>
      <c r="W45" s="261"/>
      <c r="X45" s="261"/>
      <c r="Y45" s="261"/>
      <c r="Z45" s="261"/>
      <c r="AA45" s="261"/>
      <c r="AB45" s="261"/>
      <c r="AC45" s="261"/>
      <c r="AD45" s="261"/>
      <c r="AE45" s="261"/>
      <c r="AF45" s="261"/>
      <c r="AG45" s="261"/>
      <c r="AH45" s="261"/>
      <c r="AI45" s="261"/>
      <c r="AJ45" s="261"/>
      <c r="AK45" s="261"/>
      <c r="AL45" s="261"/>
    </row>
    <row r="46" spans="6:38" ht="15" customHeight="1">
      <c r="F46" s="28"/>
      <c r="G46" s="28"/>
      <c r="H46" s="261"/>
      <c r="I46" s="261"/>
      <c r="J46" s="261"/>
      <c r="K46" s="261"/>
      <c r="L46" s="261"/>
      <c r="M46" s="261"/>
      <c r="N46" s="261"/>
      <c r="O46" s="261"/>
      <c r="P46" s="261"/>
      <c r="Q46" s="261"/>
      <c r="R46" s="261"/>
      <c r="S46" s="261"/>
      <c r="T46" s="261"/>
      <c r="U46" s="261"/>
      <c r="V46" s="261"/>
      <c r="W46" s="261"/>
      <c r="X46" s="261"/>
      <c r="Y46" s="261"/>
      <c r="Z46" s="261"/>
      <c r="AA46" s="261"/>
      <c r="AB46" s="261"/>
      <c r="AC46" s="261"/>
      <c r="AD46" s="261"/>
      <c r="AE46" s="261"/>
      <c r="AF46" s="261"/>
      <c r="AG46" s="261"/>
      <c r="AH46" s="261"/>
      <c r="AI46" s="261"/>
      <c r="AJ46" s="261"/>
      <c r="AK46" s="261"/>
      <c r="AL46" s="261"/>
    </row>
    <row r="47" spans="6:38" ht="15" customHeight="1">
      <c r="F47" s="28"/>
      <c r="G47" s="28"/>
      <c r="H47" s="261"/>
      <c r="I47" s="261"/>
      <c r="J47" s="261"/>
      <c r="K47" s="261"/>
      <c r="L47" s="261"/>
      <c r="M47" s="261"/>
      <c r="N47" s="261"/>
      <c r="O47" s="261"/>
      <c r="P47" s="261"/>
      <c r="Q47" s="261"/>
      <c r="R47" s="261"/>
      <c r="S47" s="261"/>
      <c r="T47" s="261"/>
      <c r="U47" s="261"/>
      <c r="V47" s="261"/>
      <c r="W47" s="261"/>
      <c r="X47" s="261"/>
      <c r="Y47" s="261"/>
      <c r="Z47" s="261"/>
      <c r="AA47" s="261"/>
      <c r="AB47" s="261"/>
      <c r="AC47" s="261"/>
      <c r="AD47" s="261"/>
      <c r="AE47" s="261"/>
      <c r="AF47" s="261"/>
      <c r="AG47" s="261"/>
      <c r="AH47" s="261"/>
      <c r="AI47" s="261"/>
      <c r="AJ47" s="261"/>
      <c r="AK47" s="261"/>
      <c r="AL47" s="261"/>
    </row>
    <row r="48" spans="6:38" ht="15" customHeight="1">
      <c r="F48" s="28"/>
      <c r="G48" s="28"/>
      <c r="H48" s="261"/>
      <c r="I48" s="261"/>
      <c r="J48" s="261"/>
      <c r="K48" s="261"/>
      <c r="L48" s="261"/>
      <c r="M48" s="261"/>
      <c r="N48" s="261"/>
      <c r="O48" s="261"/>
      <c r="P48" s="261"/>
      <c r="Q48" s="261"/>
      <c r="R48" s="261"/>
      <c r="S48" s="261"/>
      <c r="T48" s="261"/>
      <c r="U48" s="261"/>
      <c r="V48" s="261"/>
      <c r="W48" s="261"/>
      <c r="X48" s="261"/>
      <c r="Y48" s="261"/>
      <c r="Z48" s="261"/>
      <c r="AA48" s="261"/>
      <c r="AB48" s="261"/>
      <c r="AC48" s="261"/>
      <c r="AD48" s="261"/>
      <c r="AE48" s="261"/>
      <c r="AF48" s="261"/>
      <c r="AG48" s="261"/>
      <c r="AH48" s="261"/>
      <c r="AI48" s="261"/>
      <c r="AJ48" s="261"/>
      <c r="AK48" s="261"/>
      <c r="AL48" s="261"/>
    </row>
    <row r="49" spans="6:38" s="46" customFormat="1" ht="15" customHeight="1">
      <c r="F49" s="28"/>
      <c r="G49" s="28"/>
      <c r="H49" s="261"/>
      <c r="I49" s="261"/>
      <c r="J49" s="261"/>
      <c r="K49" s="261"/>
      <c r="L49" s="261"/>
      <c r="M49" s="261"/>
      <c r="N49" s="261"/>
      <c r="O49" s="261"/>
      <c r="P49" s="261"/>
      <c r="Q49" s="261"/>
      <c r="R49" s="261"/>
      <c r="S49" s="261"/>
      <c r="T49" s="261"/>
      <c r="U49" s="261"/>
      <c r="V49" s="261"/>
      <c r="W49" s="261"/>
      <c r="X49" s="261"/>
      <c r="Y49" s="261"/>
      <c r="Z49" s="261"/>
      <c r="AA49" s="261"/>
      <c r="AB49" s="261"/>
      <c r="AC49" s="261"/>
      <c r="AD49" s="261"/>
      <c r="AE49" s="261"/>
      <c r="AF49" s="261"/>
      <c r="AG49" s="261"/>
      <c r="AH49" s="261"/>
      <c r="AI49" s="261"/>
      <c r="AJ49" s="261"/>
      <c r="AK49" s="261"/>
      <c r="AL49" s="261"/>
    </row>
    <row r="50" spans="6:38" s="46" customFormat="1" ht="15" customHeight="1">
      <c r="F50" s="28"/>
      <c r="G50" s="28"/>
      <c r="H50" s="261"/>
      <c r="I50" s="261"/>
      <c r="J50" s="261"/>
      <c r="K50" s="261"/>
      <c r="L50" s="261"/>
      <c r="M50" s="261"/>
      <c r="N50" s="261"/>
      <c r="O50" s="261"/>
      <c r="P50" s="261"/>
      <c r="Q50" s="261"/>
      <c r="R50" s="261"/>
      <c r="S50" s="261"/>
      <c r="T50" s="261"/>
      <c r="U50" s="261"/>
      <c r="V50" s="261"/>
      <c r="W50" s="261"/>
      <c r="X50" s="261"/>
      <c r="Y50" s="261"/>
      <c r="Z50" s="261"/>
      <c r="AA50" s="261"/>
      <c r="AB50" s="261"/>
      <c r="AC50" s="261"/>
      <c r="AD50" s="261"/>
      <c r="AE50" s="261"/>
      <c r="AF50" s="261"/>
      <c r="AG50" s="261"/>
      <c r="AH50" s="261"/>
      <c r="AI50" s="261"/>
      <c r="AJ50" s="261"/>
      <c r="AK50" s="261"/>
      <c r="AL50" s="261"/>
    </row>
    <row r="51" spans="6:38" s="46" customFormat="1" ht="15" customHeight="1">
      <c r="F51" s="28"/>
      <c r="G51" s="28"/>
      <c r="H51" s="261"/>
      <c r="I51" s="261"/>
      <c r="J51" s="261"/>
      <c r="K51" s="261"/>
      <c r="L51" s="261"/>
      <c r="M51" s="261"/>
      <c r="N51" s="261"/>
      <c r="O51" s="261"/>
      <c r="P51" s="261"/>
      <c r="Q51" s="261"/>
      <c r="R51" s="261"/>
      <c r="S51" s="261"/>
      <c r="T51" s="261"/>
      <c r="U51" s="261"/>
      <c r="V51" s="261"/>
      <c r="W51" s="261"/>
      <c r="X51" s="261"/>
      <c r="Y51" s="261"/>
      <c r="Z51" s="261"/>
      <c r="AA51" s="261"/>
      <c r="AB51" s="261"/>
      <c r="AC51" s="261"/>
      <c r="AD51" s="261"/>
      <c r="AE51" s="261"/>
      <c r="AF51" s="261"/>
      <c r="AG51" s="261"/>
      <c r="AH51" s="261"/>
      <c r="AI51" s="261"/>
      <c r="AJ51" s="261"/>
      <c r="AK51" s="261"/>
      <c r="AL51" s="261"/>
    </row>
    <row r="52" spans="6:38" s="46" customFormat="1" ht="15" customHeight="1">
      <c r="F52" s="28"/>
      <c r="G52" s="28"/>
      <c r="H52" s="261"/>
      <c r="I52" s="261"/>
      <c r="J52" s="261"/>
      <c r="K52" s="261"/>
      <c r="L52" s="261"/>
      <c r="M52" s="261"/>
      <c r="N52" s="261"/>
      <c r="O52" s="261"/>
      <c r="P52" s="261"/>
      <c r="Q52" s="261"/>
      <c r="R52" s="261"/>
      <c r="S52" s="261"/>
      <c r="T52" s="261"/>
      <c r="U52" s="261"/>
      <c r="V52" s="261"/>
      <c r="W52" s="261"/>
      <c r="X52" s="261"/>
      <c r="Y52" s="261"/>
      <c r="Z52" s="261"/>
      <c r="AA52" s="261"/>
      <c r="AB52" s="261"/>
      <c r="AC52" s="261"/>
      <c r="AD52" s="261"/>
      <c r="AE52" s="261"/>
      <c r="AF52" s="261"/>
      <c r="AG52" s="261"/>
      <c r="AH52" s="261"/>
      <c r="AI52" s="261"/>
      <c r="AJ52" s="261"/>
      <c r="AK52" s="261"/>
      <c r="AL52" s="261"/>
    </row>
    <row r="53" spans="6:38" s="46" customFormat="1" ht="15" customHeight="1">
      <c r="F53" s="28"/>
      <c r="G53" s="28"/>
      <c r="H53" s="261"/>
      <c r="I53" s="261"/>
      <c r="J53" s="261"/>
      <c r="K53" s="261"/>
      <c r="L53" s="261"/>
      <c r="M53" s="261"/>
      <c r="N53" s="261"/>
      <c r="O53" s="261"/>
      <c r="P53" s="261"/>
      <c r="Q53" s="261"/>
      <c r="R53" s="261"/>
      <c r="S53" s="261"/>
      <c r="T53" s="261"/>
      <c r="U53" s="261"/>
      <c r="V53" s="261"/>
      <c r="W53" s="261"/>
      <c r="X53" s="261"/>
      <c r="Y53" s="261"/>
      <c r="Z53" s="261"/>
      <c r="AA53" s="261"/>
      <c r="AB53" s="261"/>
      <c r="AC53" s="261"/>
      <c r="AD53" s="261"/>
      <c r="AE53" s="261"/>
      <c r="AF53" s="261"/>
      <c r="AG53" s="261"/>
      <c r="AH53" s="261"/>
      <c r="AI53" s="261"/>
      <c r="AJ53" s="261"/>
      <c r="AK53" s="261"/>
      <c r="AL53" s="261"/>
    </row>
    <row r="54" spans="6:38" s="46" customFormat="1" ht="15" customHeight="1">
      <c r="F54" s="28"/>
      <c r="G54" s="28"/>
      <c r="H54" s="261"/>
      <c r="I54" s="261"/>
      <c r="J54" s="261"/>
      <c r="K54" s="261"/>
      <c r="L54" s="261"/>
      <c r="M54" s="261"/>
      <c r="N54" s="261"/>
      <c r="O54" s="261"/>
      <c r="P54" s="261"/>
      <c r="Q54" s="261"/>
      <c r="R54" s="261"/>
      <c r="S54" s="261"/>
      <c r="T54" s="261"/>
      <c r="U54" s="261"/>
      <c r="V54" s="261"/>
      <c r="W54" s="261"/>
      <c r="X54" s="261"/>
      <c r="Y54" s="261"/>
      <c r="Z54" s="261"/>
      <c r="AA54" s="261"/>
      <c r="AB54" s="261"/>
      <c r="AC54" s="261"/>
      <c r="AD54" s="261"/>
      <c r="AE54" s="261"/>
      <c r="AF54" s="261"/>
      <c r="AG54" s="261"/>
      <c r="AH54" s="261"/>
      <c r="AI54" s="261"/>
      <c r="AJ54" s="261"/>
      <c r="AK54" s="261"/>
      <c r="AL54" s="261"/>
    </row>
    <row r="55" spans="6:38" s="46" customFormat="1" ht="15" customHeight="1">
      <c r="F55" s="28"/>
      <c r="G55" s="28"/>
      <c r="H55" s="261"/>
      <c r="I55" s="261"/>
      <c r="J55" s="261"/>
      <c r="K55" s="261"/>
      <c r="L55" s="261"/>
      <c r="M55" s="261"/>
      <c r="N55" s="261"/>
      <c r="O55" s="261"/>
      <c r="P55" s="261"/>
      <c r="Q55" s="261"/>
      <c r="R55" s="261"/>
      <c r="S55" s="261"/>
      <c r="T55" s="261"/>
      <c r="U55" s="261"/>
      <c r="V55" s="261"/>
      <c r="W55" s="261"/>
      <c r="X55" s="261"/>
      <c r="Y55" s="261"/>
      <c r="Z55" s="261"/>
      <c r="AA55" s="261"/>
      <c r="AB55" s="261"/>
      <c r="AC55" s="261"/>
      <c r="AD55" s="261"/>
      <c r="AE55" s="261"/>
      <c r="AF55" s="261"/>
      <c r="AG55" s="261"/>
      <c r="AH55" s="261"/>
      <c r="AI55" s="261"/>
      <c r="AJ55" s="261"/>
      <c r="AK55" s="261"/>
      <c r="AL55" s="261"/>
    </row>
    <row r="56" spans="6:38" s="46" customFormat="1" ht="15" customHeight="1">
      <c r="F56" s="28"/>
      <c r="G56" s="28"/>
      <c r="H56" s="261"/>
      <c r="I56" s="261"/>
      <c r="J56" s="261"/>
      <c r="K56" s="261"/>
      <c r="L56" s="261"/>
      <c r="M56" s="261"/>
      <c r="N56" s="261"/>
      <c r="O56" s="261"/>
      <c r="P56" s="261"/>
      <c r="Q56" s="261"/>
      <c r="R56" s="261"/>
      <c r="S56" s="261"/>
      <c r="T56" s="261"/>
      <c r="U56" s="261"/>
      <c r="V56" s="261"/>
      <c r="W56" s="261"/>
      <c r="X56" s="261"/>
      <c r="Y56" s="261"/>
      <c r="Z56" s="261"/>
      <c r="AA56" s="261"/>
      <c r="AB56" s="261"/>
      <c r="AC56" s="261"/>
      <c r="AD56" s="261"/>
      <c r="AE56" s="261"/>
      <c r="AF56" s="261"/>
      <c r="AG56" s="261"/>
      <c r="AH56" s="261"/>
      <c r="AI56" s="261"/>
      <c r="AJ56" s="261"/>
      <c r="AK56" s="261"/>
      <c r="AL56" s="261"/>
    </row>
    <row r="57" spans="6:38" s="46" customFormat="1" ht="15" customHeight="1">
      <c r="F57" s="28"/>
      <c r="G57" s="28"/>
      <c r="H57" s="261"/>
      <c r="I57" s="261"/>
      <c r="J57" s="261"/>
      <c r="K57" s="261"/>
      <c r="L57" s="261"/>
      <c r="M57" s="261"/>
      <c r="N57" s="261"/>
      <c r="O57" s="261"/>
      <c r="P57" s="261"/>
      <c r="Q57" s="261"/>
      <c r="R57" s="261"/>
      <c r="S57" s="261"/>
      <c r="T57" s="261"/>
      <c r="U57" s="261"/>
      <c r="V57" s="261"/>
      <c r="W57" s="261"/>
      <c r="X57" s="261"/>
      <c r="Y57" s="261"/>
      <c r="Z57" s="261"/>
      <c r="AA57" s="261"/>
      <c r="AB57" s="261"/>
      <c r="AC57" s="261"/>
      <c r="AD57" s="261"/>
      <c r="AE57" s="261"/>
      <c r="AF57" s="261"/>
      <c r="AG57" s="261"/>
      <c r="AH57" s="261"/>
      <c r="AI57" s="261"/>
      <c r="AJ57" s="261"/>
      <c r="AK57" s="261"/>
      <c r="AL57" s="261"/>
    </row>
    <row r="58" spans="6:38" s="46" customFormat="1" ht="15" customHeight="1">
      <c r="F58" s="28"/>
      <c r="G58" s="28"/>
      <c r="H58" s="261"/>
      <c r="I58" s="261"/>
      <c r="J58" s="261"/>
      <c r="K58" s="261"/>
      <c r="L58" s="261"/>
      <c r="M58" s="261"/>
      <c r="N58" s="261"/>
      <c r="O58" s="261"/>
      <c r="P58" s="261"/>
      <c r="Q58" s="261"/>
      <c r="R58" s="261"/>
      <c r="S58" s="261"/>
      <c r="T58" s="261"/>
      <c r="U58" s="261"/>
      <c r="V58" s="261"/>
      <c r="W58" s="261"/>
      <c r="X58" s="261"/>
      <c r="Y58" s="261"/>
      <c r="Z58" s="261"/>
      <c r="AA58" s="261"/>
      <c r="AB58" s="261"/>
      <c r="AC58" s="261"/>
      <c r="AD58" s="261"/>
      <c r="AE58" s="261"/>
      <c r="AF58" s="261"/>
      <c r="AG58" s="261"/>
      <c r="AH58" s="261"/>
      <c r="AI58" s="261"/>
      <c r="AJ58" s="261"/>
      <c r="AK58" s="261"/>
      <c r="AL58" s="261"/>
    </row>
    <row r="59" spans="6:38" s="46" customFormat="1" ht="15" customHeight="1">
      <c r="F59" s="28"/>
      <c r="G59" s="28"/>
      <c r="H59" s="261"/>
      <c r="I59" s="261"/>
      <c r="J59" s="261"/>
      <c r="K59" s="261"/>
      <c r="L59" s="261"/>
      <c r="M59" s="261"/>
      <c r="N59" s="261"/>
      <c r="O59" s="261"/>
      <c r="P59" s="261"/>
      <c r="Q59" s="261"/>
      <c r="R59" s="261"/>
      <c r="S59" s="261"/>
      <c r="T59" s="261"/>
      <c r="U59" s="261"/>
      <c r="V59" s="261"/>
      <c r="W59" s="261"/>
      <c r="X59" s="261"/>
      <c r="Y59" s="261"/>
      <c r="Z59" s="261"/>
      <c r="AA59" s="261"/>
      <c r="AB59" s="261"/>
      <c r="AC59" s="261"/>
      <c r="AD59" s="261"/>
      <c r="AE59" s="261"/>
      <c r="AF59" s="261"/>
      <c r="AG59" s="261"/>
      <c r="AH59" s="261"/>
      <c r="AI59" s="261"/>
      <c r="AJ59" s="261"/>
      <c r="AK59" s="261"/>
      <c r="AL59" s="261"/>
    </row>
    <row r="60" spans="6:38" s="46" customFormat="1" ht="15" customHeight="1">
      <c r="F60" s="28"/>
      <c r="G60" s="28"/>
      <c r="H60" s="261"/>
      <c r="I60" s="261"/>
      <c r="J60" s="261"/>
      <c r="K60" s="261"/>
      <c r="L60" s="261"/>
      <c r="M60" s="261"/>
      <c r="N60" s="261"/>
      <c r="O60" s="261"/>
      <c r="P60" s="261"/>
      <c r="Q60" s="261"/>
      <c r="R60" s="261"/>
      <c r="S60" s="261"/>
      <c r="T60" s="261"/>
      <c r="U60" s="261"/>
      <c r="V60" s="261"/>
      <c r="W60" s="261"/>
      <c r="X60" s="261"/>
      <c r="Y60" s="261"/>
      <c r="Z60" s="261"/>
      <c r="AA60" s="261"/>
      <c r="AB60" s="261"/>
      <c r="AC60" s="261"/>
      <c r="AD60" s="261"/>
      <c r="AE60" s="261"/>
      <c r="AF60" s="261"/>
      <c r="AG60" s="261"/>
      <c r="AH60" s="261"/>
      <c r="AI60" s="261"/>
      <c r="AJ60" s="261"/>
      <c r="AK60" s="261"/>
      <c r="AL60" s="261"/>
    </row>
    <row r="61" spans="6:38" s="46" customFormat="1" ht="15" customHeight="1">
      <c r="F61" s="28"/>
      <c r="G61" s="28"/>
      <c r="H61" s="261"/>
      <c r="I61" s="261"/>
      <c r="J61" s="261"/>
      <c r="K61" s="261"/>
      <c r="L61" s="261"/>
      <c r="M61" s="261"/>
      <c r="N61" s="261"/>
      <c r="O61" s="261"/>
      <c r="P61" s="261"/>
      <c r="Q61" s="261"/>
      <c r="R61" s="261"/>
      <c r="S61" s="261"/>
      <c r="T61" s="261"/>
      <c r="U61" s="261"/>
      <c r="V61" s="261"/>
      <c r="W61" s="261"/>
      <c r="X61" s="261"/>
      <c r="Y61" s="261"/>
      <c r="Z61" s="261"/>
      <c r="AA61" s="261"/>
      <c r="AB61" s="261"/>
      <c r="AC61" s="261"/>
      <c r="AD61" s="261"/>
      <c r="AE61" s="261"/>
      <c r="AF61" s="261"/>
      <c r="AG61" s="261"/>
      <c r="AH61" s="261"/>
      <c r="AI61" s="261"/>
      <c r="AJ61" s="261"/>
      <c r="AK61" s="261"/>
      <c r="AL61" s="261"/>
    </row>
    <row r="62" spans="6:38" s="46" customFormat="1" ht="15" customHeight="1">
      <c r="F62" s="28"/>
      <c r="G62" s="28"/>
      <c r="H62" s="261"/>
      <c r="I62" s="261"/>
      <c r="J62" s="261"/>
      <c r="K62" s="261"/>
      <c r="L62" s="261"/>
      <c r="M62" s="261"/>
      <c r="N62" s="261"/>
      <c r="O62" s="261"/>
      <c r="P62" s="261"/>
      <c r="Q62" s="261"/>
      <c r="R62" s="261"/>
      <c r="S62" s="261"/>
      <c r="T62" s="261"/>
      <c r="U62" s="261"/>
      <c r="V62" s="261"/>
      <c r="W62" s="261"/>
      <c r="X62" s="261"/>
      <c r="Y62" s="261"/>
      <c r="Z62" s="261"/>
      <c r="AA62" s="261"/>
      <c r="AB62" s="261"/>
      <c r="AC62" s="261"/>
      <c r="AD62" s="261"/>
      <c r="AE62" s="261"/>
      <c r="AF62" s="261"/>
      <c r="AG62" s="261"/>
      <c r="AH62" s="261"/>
      <c r="AI62" s="261"/>
      <c r="AJ62" s="261"/>
      <c r="AK62" s="261"/>
      <c r="AL62" s="261"/>
    </row>
    <row r="63" spans="6:38" s="46" customFormat="1" ht="15" customHeight="1">
      <c r="F63" s="28"/>
      <c r="G63" s="28"/>
      <c r="H63" s="261"/>
      <c r="I63" s="261"/>
      <c r="J63" s="261"/>
      <c r="K63" s="261"/>
      <c r="L63" s="261"/>
      <c r="M63" s="261"/>
      <c r="N63" s="261"/>
      <c r="O63" s="261"/>
      <c r="P63" s="261"/>
      <c r="Q63" s="261"/>
      <c r="R63" s="261"/>
      <c r="S63" s="261"/>
      <c r="T63" s="261"/>
      <c r="U63" s="261"/>
      <c r="V63" s="261"/>
      <c r="W63" s="261"/>
      <c r="X63" s="261"/>
      <c r="Y63" s="261"/>
      <c r="Z63" s="261"/>
      <c r="AA63" s="261"/>
      <c r="AB63" s="261"/>
      <c r="AC63" s="261"/>
      <c r="AD63" s="261"/>
      <c r="AE63" s="261"/>
      <c r="AF63" s="261"/>
      <c r="AG63" s="261"/>
      <c r="AH63" s="261"/>
      <c r="AI63" s="261"/>
      <c r="AJ63" s="261"/>
      <c r="AK63" s="261"/>
      <c r="AL63" s="261"/>
    </row>
    <row r="64" spans="6:38" s="46" customFormat="1" ht="15" customHeight="1">
      <c r="F64" s="28"/>
      <c r="G64" s="28"/>
      <c r="H64" s="261"/>
      <c r="I64" s="261"/>
      <c r="J64" s="261"/>
      <c r="K64" s="261"/>
      <c r="L64" s="261"/>
      <c r="M64" s="261"/>
      <c r="N64" s="261"/>
      <c r="O64" s="261"/>
      <c r="P64" s="261"/>
      <c r="Q64" s="261"/>
      <c r="R64" s="261"/>
      <c r="S64" s="261"/>
      <c r="T64" s="261"/>
      <c r="U64" s="261"/>
      <c r="V64" s="261"/>
      <c r="W64" s="261"/>
      <c r="X64" s="261"/>
      <c r="Y64" s="261"/>
      <c r="Z64" s="261"/>
      <c r="AA64" s="261"/>
      <c r="AB64" s="261"/>
      <c r="AC64" s="261"/>
      <c r="AD64" s="261"/>
      <c r="AE64" s="261"/>
      <c r="AF64" s="261"/>
      <c r="AG64" s="261"/>
      <c r="AH64" s="261"/>
      <c r="AI64" s="261"/>
      <c r="AJ64" s="261"/>
      <c r="AK64" s="261"/>
      <c r="AL64" s="261"/>
    </row>
    <row r="65" spans="6:38" s="46" customFormat="1" ht="15" customHeight="1">
      <c r="F65" s="28"/>
      <c r="G65" s="28"/>
      <c r="H65" s="261"/>
      <c r="I65" s="261"/>
      <c r="J65" s="261"/>
      <c r="K65" s="261"/>
      <c r="L65" s="261"/>
      <c r="M65" s="261"/>
      <c r="N65" s="261"/>
      <c r="O65" s="261"/>
      <c r="P65" s="261"/>
      <c r="Q65" s="261"/>
      <c r="R65" s="261"/>
      <c r="S65" s="261"/>
      <c r="T65" s="261"/>
      <c r="U65" s="261"/>
      <c r="V65" s="261"/>
      <c r="W65" s="261"/>
      <c r="X65" s="261"/>
      <c r="Y65" s="261"/>
      <c r="Z65" s="261"/>
      <c r="AA65" s="261"/>
      <c r="AB65" s="261"/>
      <c r="AC65" s="261"/>
      <c r="AD65" s="261"/>
      <c r="AE65" s="261"/>
      <c r="AF65" s="261"/>
      <c r="AG65" s="261"/>
      <c r="AH65" s="261"/>
      <c r="AI65" s="261"/>
      <c r="AJ65" s="261"/>
      <c r="AK65" s="261"/>
      <c r="AL65" s="261"/>
    </row>
    <row r="66" spans="6:38" s="46" customFormat="1" ht="15" customHeight="1">
      <c r="F66" s="28"/>
      <c r="G66" s="28"/>
      <c r="H66" s="261"/>
      <c r="I66" s="261"/>
      <c r="J66" s="261"/>
      <c r="K66" s="261"/>
      <c r="L66" s="261"/>
      <c r="M66" s="261"/>
      <c r="N66" s="261"/>
      <c r="O66" s="261"/>
      <c r="P66" s="261"/>
      <c r="Q66" s="261"/>
      <c r="R66" s="261"/>
      <c r="S66" s="261"/>
      <c r="T66" s="261"/>
      <c r="U66" s="261"/>
      <c r="V66" s="261"/>
      <c r="W66" s="261"/>
      <c r="X66" s="261"/>
      <c r="Y66" s="261"/>
      <c r="Z66" s="261"/>
      <c r="AA66" s="261"/>
      <c r="AB66" s="261"/>
      <c r="AC66" s="261"/>
      <c r="AD66" s="261"/>
      <c r="AE66" s="261"/>
      <c r="AF66" s="261"/>
      <c r="AG66" s="261"/>
      <c r="AH66" s="261"/>
      <c r="AI66" s="261"/>
      <c r="AJ66" s="261"/>
      <c r="AK66" s="261"/>
      <c r="AL66" s="261"/>
    </row>
    <row r="67" spans="6:38" s="46" customFormat="1" ht="15" customHeight="1">
      <c r="F67" s="28"/>
      <c r="G67" s="28"/>
      <c r="H67" s="261"/>
      <c r="I67" s="261"/>
      <c r="J67" s="261"/>
      <c r="K67" s="261"/>
      <c r="L67" s="261"/>
      <c r="M67" s="261"/>
      <c r="N67" s="261"/>
      <c r="O67" s="261"/>
      <c r="P67" s="261"/>
      <c r="Q67" s="261"/>
      <c r="R67" s="261"/>
      <c r="S67" s="261"/>
      <c r="T67" s="261"/>
      <c r="U67" s="261"/>
      <c r="V67" s="261"/>
      <c r="W67" s="261"/>
      <c r="X67" s="261"/>
      <c r="Y67" s="261"/>
      <c r="Z67" s="261"/>
      <c r="AA67" s="261"/>
      <c r="AB67" s="261"/>
      <c r="AC67" s="261"/>
      <c r="AD67" s="261"/>
      <c r="AE67" s="261"/>
      <c r="AF67" s="261"/>
      <c r="AG67" s="261"/>
      <c r="AH67" s="261"/>
      <c r="AI67" s="261"/>
      <c r="AJ67" s="261"/>
      <c r="AK67" s="261"/>
      <c r="AL67" s="261"/>
    </row>
    <row r="68" spans="6:38" s="46" customFormat="1" ht="15" customHeight="1">
      <c r="F68" s="28"/>
      <c r="G68" s="28"/>
      <c r="H68" s="261"/>
      <c r="I68" s="261"/>
      <c r="J68" s="261"/>
      <c r="K68" s="261"/>
      <c r="L68" s="261"/>
      <c r="M68" s="261"/>
      <c r="N68" s="261"/>
      <c r="O68" s="261"/>
      <c r="P68" s="261"/>
      <c r="Q68" s="261"/>
      <c r="R68" s="261"/>
      <c r="S68" s="261"/>
      <c r="T68" s="261"/>
      <c r="U68" s="261"/>
      <c r="V68" s="261"/>
      <c r="W68" s="261"/>
      <c r="X68" s="261"/>
      <c r="Y68" s="261"/>
      <c r="Z68" s="261"/>
      <c r="AA68" s="261"/>
      <c r="AB68" s="261"/>
      <c r="AC68" s="261"/>
      <c r="AD68" s="261"/>
      <c r="AE68" s="261"/>
      <c r="AF68" s="261"/>
      <c r="AG68" s="261"/>
      <c r="AH68" s="261"/>
      <c r="AI68" s="261"/>
      <c r="AJ68" s="261"/>
      <c r="AK68" s="261"/>
      <c r="AL68" s="261"/>
    </row>
    <row r="69" spans="6:38" s="46" customFormat="1" ht="15" customHeight="1">
      <c r="F69" s="28"/>
      <c r="G69" s="28"/>
      <c r="H69" s="261"/>
      <c r="I69" s="261"/>
      <c r="J69" s="261"/>
      <c r="K69" s="261"/>
      <c r="L69" s="261"/>
      <c r="M69" s="261"/>
      <c r="N69" s="261"/>
      <c r="O69" s="261"/>
      <c r="P69" s="261"/>
      <c r="Q69" s="261"/>
      <c r="R69" s="261"/>
      <c r="S69" s="261"/>
      <c r="T69" s="261"/>
      <c r="U69" s="261"/>
      <c r="V69" s="261"/>
      <c r="W69" s="261"/>
      <c r="X69" s="261"/>
      <c r="Y69" s="261"/>
      <c r="Z69" s="261"/>
      <c r="AA69" s="261"/>
      <c r="AB69" s="261"/>
      <c r="AC69" s="261"/>
      <c r="AD69" s="261"/>
      <c r="AE69" s="261"/>
      <c r="AF69" s="261"/>
      <c r="AG69" s="261"/>
      <c r="AH69" s="261"/>
      <c r="AI69" s="261"/>
      <c r="AJ69" s="261"/>
      <c r="AK69" s="261"/>
      <c r="AL69" s="261"/>
    </row>
    <row r="70" spans="6:38" s="46" customFormat="1" ht="15" customHeight="1">
      <c r="F70" s="28"/>
      <c r="G70" s="28"/>
      <c r="H70" s="261"/>
      <c r="I70" s="261"/>
      <c r="J70" s="261"/>
      <c r="K70" s="261"/>
      <c r="L70" s="261"/>
      <c r="M70" s="261"/>
      <c r="N70" s="261"/>
      <c r="O70" s="261"/>
      <c r="P70" s="261"/>
      <c r="Q70" s="261"/>
      <c r="R70" s="261"/>
      <c r="S70" s="261"/>
      <c r="T70" s="261"/>
      <c r="U70" s="261"/>
      <c r="V70" s="261"/>
      <c r="W70" s="261"/>
      <c r="X70" s="261"/>
      <c r="Y70" s="261"/>
      <c r="Z70" s="261"/>
      <c r="AA70" s="261"/>
      <c r="AB70" s="261"/>
      <c r="AC70" s="261"/>
      <c r="AD70" s="261"/>
      <c r="AE70" s="261"/>
      <c r="AF70" s="261"/>
      <c r="AG70" s="261"/>
      <c r="AH70" s="261"/>
      <c r="AI70" s="261"/>
      <c r="AJ70" s="261"/>
      <c r="AK70" s="261"/>
      <c r="AL70" s="261"/>
    </row>
    <row r="71" spans="6:38" s="46" customFormat="1" ht="15" customHeight="1">
      <c r="F71" s="28"/>
      <c r="G71" s="28"/>
      <c r="H71" s="261"/>
      <c r="I71" s="261"/>
      <c r="J71" s="261"/>
      <c r="K71" s="261"/>
      <c r="L71" s="261"/>
      <c r="M71" s="261"/>
      <c r="N71" s="261"/>
      <c r="O71" s="261"/>
      <c r="P71" s="261"/>
      <c r="Q71" s="261"/>
      <c r="R71" s="261"/>
      <c r="S71" s="261"/>
      <c r="T71" s="261"/>
      <c r="U71" s="261"/>
      <c r="V71" s="261"/>
      <c r="W71" s="261"/>
      <c r="X71" s="261"/>
      <c r="Y71" s="261"/>
      <c r="Z71" s="261"/>
      <c r="AA71" s="261"/>
      <c r="AB71" s="261"/>
      <c r="AC71" s="261"/>
      <c r="AD71" s="261"/>
      <c r="AE71" s="261"/>
      <c r="AF71" s="261"/>
      <c r="AG71" s="261"/>
      <c r="AH71" s="261"/>
      <c r="AI71" s="261"/>
      <c r="AJ71" s="261"/>
      <c r="AK71" s="261"/>
      <c r="AL71" s="261"/>
    </row>
    <row r="72" spans="6:38" s="46" customFormat="1" ht="15" customHeight="1">
      <c r="F72" s="28"/>
      <c r="G72" s="28"/>
      <c r="H72" s="261"/>
      <c r="I72" s="261"/>
      <c r="J72" s="261"/>
      <c r="K72" s="261"/>
      <c r="L72" s="261"/>
      <c r="M72" s="261"/>
      <c r="N72" s="261"/>
      <c r="O72" s="261"/>
      <c r="P72" s="261"/>
      <c r="Q72" s="261"/>
      <c r="R72" s="261"/>
      <c r="S72" s="261"/>
      <c r="T72" s="261"/>
      <c r="U72" s="261"/>
      <c r="V72" s="261"/>
      <c r="W72" s="261"/>
      <c r="X72" s="261"/>
      <c r="Y72" s="261"/>
      <c r="Z72" s="261"/>
      <c r="AA72" s="261"/>
      <c r="AB72" s="261"/>
      <c r="AC72" s="261"/>
      <c r="AD72" s="261"/>
      <c r="AE72" s="261"/>
      <c r="AF72" s="261"/>
      <c r="AG72" s="261"/>
      <c r="AH72" s="261"/>
      <c r="AI72" s="261"/>
      <c r="AJ72" s="261"/>
      <c r="AK72" s="261"/>
      <c r="AL72" s="261"/>
    </row>
    <row r="73" spans="6:38" s="46" customFormat="1" ht="15" customHeight="1">
      <c r="F73" s="28"/>
      <c r="G73" s="28"/>
      <c r="H73" s="261"/>
      <c r="I73" s="261"/>
      <c r="J73" s="261"/>
      <c r="K73" s="261"/>
      <c r="L73" s="261"/>
      <c r="M73" s="261"/>
      <c r="N73" s="261"/>
      <c r="O73" s="261"/>
      <c r="P73" s="261"/>
      <c r="Q73" s="261"/>
      <c r="R73" s="261"/>
      <c r="S73" s="261"/>
      <c r="T73" s="261"/>
      <c r="U73" s="261"/>
      <c r="V73" s="261"/>
      <c r="W73" s="261"/>
      <c r="X73" s="261"/>
      <c r="Y73" s="261"/>
      <c r="Z73" s="261"/>
      <c r="AA73" s="261"/>
      <c r="AB73" s="261"/>
      <c r="AC73" s="261"/>
      <c r="AD73" s="261"/>
      <c r="AE73" s="261"/>
      <c r="AF73" s="261"/>
      <c r="AG73" s="261"/>
      <c r="AH73" s="261"/>
      <c r="AI73" s="261"/>
      <c r="AJ73" s="261"/>
      <c r="AK73" s="261"/>
      <c r="AL73" s="261"/>
    </row>
    <row r="74" spans="6:38" s="46" customFormat="1" ht="15" customHeight="1">
      <c r="F74" s="28"/>
      <c r="G74" s="28"/>
      <c r="H74" s="261"/>
      <c r="I74" s="261"/>
      <c r="J74" s="261"/>
      <c r="K74" s="261"/>
      <c r="L74" s="261"/>
      <c r="M74" s="261"/>
      <c r="N74" s="261"/>
      <c r="O74" s="261"/>
      <c r="P74" s="261"/>
      <c r="Q74" s="261"/>
      <c r="R74" s="261"/>
      <c r="S74" s="261"/>
      <c r="T74" s="261"/>
      <c r="U74" s="261"/>
      <c r="V74" s="261"/>
      <c r="W74" s="261"/>
      <c r="X74" s="261"/>
      <c r="Y74" s="261"/>
      <c r="Z74" s="261"/>
      <c r="AA74" s="261"/>
      <c r="AB74" s="261"/>
      <c r="AC74" s="261"/>
      <c r="AD74" s="261"/>
      <c r="AE74" s="261"/>
      <c r="AF74" s="261"/>
      <c r="AG74" s="261"/>
      <c r="AH74" s="261"/>
      <c r="AI74" s="261"/>
      <c r="AJ74" s="261"/>
      <c r="AK74" s="261"/>
      <c r="AL74" s="261"/>
    </row>
    <row r="75" spans="6:38" s="46" customFormat="1" ht="15" customHeight="1">
      <c r="F75" s="28"/>
      <c r="G75" s="28"/>
      <c r="H75" s="261"/>
      <c r="I75" s="261"/>
      <c r="J75" s="261"/>
      <c r="K75" s="261"/>
      <c r="L75" s="261"/>
      <c r="M75" s="261"/>
      <c r="N75" s="261"/>
      <c r="O75" s="261"/>
      <c r="P75" s="261"/>
      <c r="Q75" s="261"/>
      <c r="R75" s="261"/>
      <c r="S75" s="261"/>
      <c r="T75" s="261"/>
      <c r="U75" s="261"/>
      <c r="V75" s="261"/>
      <c r="W75" s="261"/>
      <c r="X75" s="261"/>
      <c r="Y75" s="261"/>
      <c r="Z75" s="261"/>
      <c r="AA75" s="261"/>
      <c r="AB75" s="261"/>
      <c r="AC75" s="261"/>
      <c r="AD75" s="261"/>
      <c r="AE75" s="261"/>
      <c r="AF75" s="261"/>
      <c r="AG75" s="261"/>
      <c r="AH75" s="261"/>
      <c r="AI75" s="261"/>
      <c r="AJ75" s="261"/>
      <c r="AK75" s="261"/>
      <c r="AL75" s="261"/>
    </row>
    <row r="76" spans="6:38" s="46" customFormat="1" ht="15" customHeight="1">
      <c r="F76" s="28"/>
      <c r="G76" s="28"/>
      <c r="H76" s="261"/>
      <c r="I76" s="261"/>
      <c r="J76" s="261"/>
      <c r="K76" s="261"/>
      <c r="L76" s="261"/>
      <c r="M76" s="261"/>
      <c r="N76" s="261"/>
      <c r="O76" s="261"/>
      <c r="P76" s="261"/>
      <c r="Q76" s="261"/>
      <c r="R76" s="261"/>
      <c r="S76" s="261"/>
      <c r="T76" s="261"/>
      <c r="U76" s="261"/>
      <c r="V76" s="261"/>
      <c r="W76" s="261"/>
      <c r="X76" s="261"/>
      <c r="Y76" s="261"/>
      <c r="Z76" s="261"/>
      <c r="AA76" s="261"/>
      <c r="AB76" s="261"/>
      <c r="AC76" s="261"/>
      <c r="AD76" s="261"/>
      <c r="AE76" s="261"/>
      <c r="AF76" s="261"/>
      <c r="AG76" s="261"/>
      <c r="AH76" s="261"/>
      <c r="AI76" s="261"/>
      <c r="AJ76" s="261"/>
      <c r="AK76" s="261"/>
      <c r="AL76" s="261"/>
    </row>
    <row r="77" spans="6:38" s="46" customFormat="1" ht="15" customHeight="1">
      <c r="F77" s="28"/>
      <c r="G77" s="28"/>
      <c r="H77" s="261"/>
      <c r="I77" s="261"/>
      <c r="J77" s="261"/>
      <c r="K77" s="261"/>
      <c r="L77" s="261"/>
      <c r="M77" s="261"/>
      <c r="N77" s="261"/>
      <c r="O77" s="261"/>
      <c r="P77" s="261"/>
      <c r="Q77" s="261"/>
      <c r="R77" s="261"/>
      <c r="S77" s="261"/>
      <c r="T77" s="261"/>
      <c r="U77" s="261"/>
      <c r="V77" s="261"/>
      <c r="W77" s="261"/>
      <c r="X77" s="261"/>
      <c r="Y77" s="261"/>
      <c r="Z77" s="261"/>
      <c r="AA77" s="261"/>
      <c r="AB77" s="261"/>
      <c r="AC77" s="261"/>
      <c r="AD77" s="261"/>
      <c r="AE77" s="261"/>
      <c r="AF77" s="261"/>
      <c r="AG77" s="261"/>
      <c r="AH77" s="261"/>
      <c r="AI77" s="261"/>
      <c r="AJ77" s="261"/>
      <c r="AK77" s="261"/>
      <c r="AL77" s="261"/>
    </row>
    <row r="78" spans="6:38" s="46" customFormat="1" ht="15" customHeight="1">
      <c r="F78" s="28"/>
      <c r="G78" s="28"/>
      <c r="H78" s="261"/>
      <c r="I78" s="261"/>
      <c r="J78" s="261"/>
      <c r="K78" s="261"/>
      <c r="L78" s="261"/>
      <c r="M78" s="261"/>
      <c r="N78" s="261"/>
      <c r="O78" s="261"/>
      <c r="P78" s="261"/>
      <c r="Q78" s="261"/>
      <c r="R78" s="261"/>
      <c r="S78" s="261"/>
      <c r="T78" s="261"/>
      <c r="U78" s="261"/>
      <c r="V78" s="261"/>
      <c r="W78" s="261"/>
      <c r="X78" s="261"/>
      <c r="Y78" s="261"/>
      <c r="Z78" s="261"/>
      <c r="AA78" s="261"/>
      <c r="AB78" s="261"/>
      <c r="AC78" s="261"/>
      <c r="AD78" s="261"/>
      <c r="AE78" s="261"/>
      <c r="AF78" s="261"/>
      <c r="AG78" s="261"/>
      <c r="AH78" s="261"/>
      <c r="AI78" s="261"/>
      <c r="AJ78" s="261"/>
      <c r="AK78" s="261"/>
      <c r="AL78" s="261"/>
    </row>
    <row r="79" spans="6:38" s="46" customFormat="1" ht="15" customHeight="1">
      <c r="F79" s="28"/>
      <c r="G79" s="28"/>
      <c r="H79" s="261"/>
      <c r="I79" s="261"/>
      <c r="J79" s="261"/>
      <c r="K79" s="261"/>
      <c r="L79" s="261"/>
      <c r="M79" s="261"/>
      <c r="N79" s="261"/>
      <c r="O79" s="261"/>
      <c r="P79" s="261"/>
      <c r="Q79" s="261"/>
      <c r="R79" s="261"/>
      <c r="S79" s="261"/>
      <c r="T79" s="261"/>
      <c r="U79" s="261"/>
      <c r="V79" s="261"/>
      <c r="W79" s="261"/>
      <c r="X79" s="261"/>
      <c r="Y79" s="261"/>
      <c r="Z79" s="261"/>
      <c r="AA79" s="261"/>
      <c r="AB79" s="261"/>
      <c r="AC79" s="261"/>
      <c r="AD79" s="261"/>
      <c r="AE79" s="261"/>
      <c r="AF79" s="261"/>
      <c r="AG79" s="261"/>
      <c r="AH79" s="261"/>
      <c r="AI79" s="261"/>
      <c r="AJ79" s="261"/>
      <c r="AK79" s="261"/>
      <c r="AL79" s="261"/>
    </row>
  </sheetData>
  <sheetProtection/>
  <printOptions horizontalCentered="1"/>
  <pageMargins left="0.25" right="0.25" top="0.5" bottom="0.5" header="0.25" footer="0.25"/>
  <pageSetup horizontalDpi="300" verticalDpi="300" orientation="landscape" scale="80" r:id="rId1"/>
  <headerFooter alignWithMargins="0">
    <oddFooter>&amp;CPage 11
</oddFooter>
  </headerFooter>
</worksheet>
</file>

<file path=xl/worksheets/sheet12.xml><?xml version="1.0" encoding="utf-8"?>
<worksheet xmlns="http://schemas.openxmlformats.org/spreadsheetml/2006/main" xmlns:r="http://schemas.openxmlformats.org/officeDocument/2006/relationships">
  <dimension ref="A1:AL79"/>
  <sheetViews>
    <sheetView zoomScalePageLayoutView="0" workbookViewId="0" topLeftCell="A1">
      <selection activeCell="A1" sqref="A1"/>
    </sheetView>
  </sheetViews>
  <sheetFormatPr defaultColWidth="15.7109375" defaultRowHeight="15" customHeight="1"/>
  <cols>
    <col min="1" max="1" width="45.7109375" style="46" customWidth="1"/>
    <col min="2" max="2" width="19.00390625" style="170" customWidth="1"/>
    <col min="3" max="3" width="18.421875" style="170" customWidth="1"/>
    <col min="4" max="4" width="18.140625" style="170" customWidth="1"/>
    <col min="5" max="5" width="19.421875" style="47" customWidth="1"/>
    <col min="6" max="6" width="20.7109375" style="47" customWidth="1"/>
    <col min="7" max="7" width="15.7109375" style="47" customWidth="1"/>
    <col min="8" max="16384" width="15.7109375" style="46" customWidth="1"/>
  </cols>
  <sheetData>
    <row r="1" spans="1:7" s="288" customFormat="1" ht="30" customHeight="1">
      <c r="A1" s="293" t="s">
        <v>38</v>
      </c>
      <c r="B1" s="292"/>
      <c r="C1" s="292"/>
      <c r="D1" s="292"/>
      <c r="E1" s="291"/>
      <c r="F1" s="290"/>
      <c r="G1" s="289"/>
    </row>
    <row r="2" spans="1:6" ht="15" customHeight="1">
      <c r="A2" s="287"/>
      <c r="B2" s="286"/>
      <c r="C2" s="286"/>
      <c r="D2" s="286"/>
      <c r="E2" s="286"/>
      <c r="F2" s="280"/>
    </row>
    <row r="3" spans="1:7" s="164" customFormat="1" ht="15" customHeight="1">
      <c r="A3" s="285" t="s">
        <v>208</v>
      </c>
      <c r="B3" s="284"/>
      <c r="C3" s="284"/>
      <c r="D3" s="284"/>
      <c r="E3" s="283"/>
      <c r="F3" s="282"/>
      <c r="G3" s="165"/>
    </row>
    <row r="4" spans="1:7" s="164" customFormat="1" ht="15" customHeight="1">
      <c r="A4" s="285" t="s">
        <v>207</v>
      </c>
      <c r="B4" s="284"/>
      <c r="C4" s="284"/>
      <c r="D4" s="284"/>
      <c r="E4" s="283"/>
      <c r="F4" s="282"/>
      <c r="G4" s="165"/>
    </row>
    <row r="5" spans="1:7" s="164" customFormat="1" ht="15" customHeight="1">
      <c r="A5" s="72" t="s">
        <v>160</v>
      </c>
      <c r="B5" s="284"/>
      <c r="C5" s="284"/>
      <c r="D5" s="284"/>
      <c r="E5" s="283"/>
      <c r="F5" s="282"/>
      <c r="G5" s="165"/>
    </row>
    <row r="6" spans="1:6" ht="15" customHeight="1">
      <c r="A6" s="281"/>
      <c r="E6" s="280"/>
      <c r="F6" s="280"/>
    </row>
    <row r="7" spans="1:6" ht="30" customHeight="1">
      <c r="A7" s="132"/>
      <c r="B7" s="329" t="s">
        <v>104</v>
      </c>
      <c r="C7" s="329" t="s">
        <v>103</v>
      </c>
      <c r="D7" s="329" t="s">
        <v>102</v>
      </c>
      <c r="E7" s="329" t="s">
        <v>101</v>
      </c>
      <c r="F7" s="331" t="s">
        <v>100</v>
      </c>
    </row>
    <row r="8" spans="1:6" ht="30" customHeight="1">
      <c r="A8" s="279" t="s">
        <v>206</v>
      </c>
      <c r="B8" s="278"/>
      <c r="C8" s="278"/>
      <c r="D8" s="278"/>
      <c r="F8" s="277"/>
    </row>
    <row r="9" spans="1:37" ht="15" customHeight="1">
      <c r="A9" s="46" t="s">
        <v>201</v>
      </c>
      <c r="B9" s="276">
        <f>'[1]Loss Expenses Paid YTD-16'!K27</f>
        <v>42959.81</v>
      </c>
      <c r="C9" s="276">
        <f>'[1]Loss Expenses Paid YTD-16'!K21</f>
        <v>298164.31</v>
      </c>
      <c r="D9" s="276">
        <f>'[1]Loss Expenses Paid YTD-16'!K15</f>
        <v>66774.3</v>
      </c>
      <c r="E9" s="154">
        <f>'[1]Loss Expenses Paid YTD-16'!K9</f>
        <v>0</v>
      </c>
      <c r="F9" s="276">
        <f>SUM(B9:E9)</f>
        <v>407898.42</v>
      </c>
      <c r="G9" s="28"/>
      <c r="H9" s="261"/>
      <c r="I9" s="261"/>
      <c r="J9" s="261"/>
      <c r="K9" s="261"/>
      <c r="L9" s="261"/>
      <c r="M9" s="261"/>
      <c r="N9" s="261"/>
      <c r="O9" s="261"/>
      <c r="P9" s="261"/>
      <c r="Q9" s="261"/>
      <c r="R9" s="261"/>
      <c r="S9" s="261"/>
      <c r="T9" s="261"/>
      <c r="U9" s="261"/>
      <c r="V9" s="261"/>
      <c r="W9" s="261"/>
      <c r="X9" s="261"/>
      <c r="Y9" s="261"/>
      <c r="Z9" s="261"/>
      <c r="AA9" s="261"/>
      <c r="AB9" s="261"/>
      <c r="AC9" s="261"/>
      <c r="AD9" s="261"/>
      <c r="AE9" s="261"/>
      <c r="AF9" s="261"/>
      <c r="AG9" s="261"/>
      <c r="AH9" s="261"/>
      <c r="AI9" s="261"/>
      <c r="AJ9" s="261"/>
      <c r="AK9" s="261"/>
    </row>
    <row r="10" spans="1:37" s="59" customFormat="1" ht="15" customHeight="1">
      <c r="A10" s="59" t="s">
        <v>200</v>
      </c>
      <c r="B10" s="28">
        <f>'[1]Loss Expenses Paid YTD-16'!K28</f>
        <v>10787.82</v>
      </c>
      <c r="C10" s="28">
        <f>'[1]Loss Expenses Paid YTD-16'!K22</f>
        <v>162737.49</v>
      </c>
      <c r="D10" s="28">
        <f>'[1]Loss Expenses Paid YTD-16'!K16</f>
        <v>48276.33</v>
      </c>
      <c r="E10" s="154">
        <f>'[1]Loss Expenses Paid YTD-16'!K10</f>
        <v>0</v>
      </c>
      <c r="F10" s="28">
        <f>SUM(B10:E10)-1</f>
        <v>221800.64</v>
      </c>
      <c r="G10" s="28"/>
      <c r="H10" s="264"/>
      <c r="I10" s="264"/>
      <c r="J10" s="264"/>
      <c r="K10" s="264"/>
      <c r="L10" s="264"/>
      <c r="M10" s="264"/>
      <c r="N10" s="264"/>
      <c r="O10" s="264"/>
      <c r="P10" s="264"/>
      <c r="Q10" s="264"/>
      <c r="R10" s="264"/>
      <c r="S10" s="264"/>
      <c r="T10" s="264"/>
      <c r="U10" s="264"/>
      <c r="V10" s="264"/>
      <c r="W10" s="264"/>
      <c r="X10" s="264"/>
      <c r="Y10" s="264"/>
      <c r="Z10" s="264"/>
      <c r="AA10" s="264"/>
      <c r="AB10" s="264"/>
      <c r="AC10" s="264"/>
      <c r="AD10" s="264"/>
      <c r="AE10" s="264"/>
      <c r="AF10" s="264"/>
      <c r="AG10" s="264"/>
      <c r="AH10" s="264"/>
      <c r="AI10" s="264"/>
      <c r="AJ10" s="264"/>
      <c r="AK10" s="264"/>
    </row>
    <row r="11" spans="1:37" s="59" customFormat="1" ht="15" customHeight="1">
      <c r="A11" s="59" t="s">
        <v>199</v>
      </c>
      <c r="B11" s="154">
        <f>'[1]Loss Expenses Paid YTD-16'!K29</f>
        <v>0</v>
      </c>
      <c r="C11" s="28">
        <f>'[1]Loss Expenses Paid YTD-16'!K23</f>
        <v>129.89</v>
      </c>
      <c r="D11" s="154">
        <f>'[1]Loss Expenses Paid YTD-16'!K17</f>
        <v>0</v>
      </c>
      <c r="E11" s="154">
        <f>'[1]Loss Expenses Paid YTD-16'!K11</f>
        <v>0</v>
      </c>
      <c r="F11" s="28">
        <f>SUM(B11:E11)</f>
        <v>129.89</v>
      </c>
      <c r="G11" s="28"/>
      <c r="H11" s="264"/>
      <c r="I11" s="264"/>
      <c r="J11" s="264"/>
      <c r="K11" s="264"/>
      <c r="L11" s="264"/>
      <c r="M11" s="264"/>
      <c r="N11" s="264"/>
      <c r="O11" s="264"/>
      <c r="P11" s="264"/>
      <c r="Q11" s="264"/>
      <c r="R11" s="264"/>
      <c r="S11" s="264"/>
      <c r="T11" s="264"/>
      <c r="U11" s="264"/>
      <c r="V11" s="264"/>
      <c r="W11" s="264"/>
      <c r="X11" s="264"/>
      <c r="Y11" s="264"/>
      <c r="Z11" s="264"/>
      <c r="AA11" s="264"/>
      <c r="AB11" s="264"/>
      <c r="AC11" s="264"/>
      <c r="AD11" s="264"/>
      <c r="AE11" s="264"/>
      <c r="AF11" s="264"/>
      <c r="AG11" s="264"/>
      <c r="AH11" s="264"/>
      <c r="AI11" s="264"/>
      <c r="AJ11" s="264"/>
      <c r="AK11" s="264"/>
    </row>
    <row r="12" spans="1:37" s="59" customFormat="1" ht="15" customHeight="1" thickBot="1">
      <c r="A12" s="272" t="s">
        <v>162</v>
      </c>
      <c r="B12" s="271">
        <f>SUM(B9:B11)</f>
        <v>53747.63</v>
      </c>
      <c r="C12" s="271">
        <f>SUM(C9:C11)-1</f>
        <v>461030.69</v>
      </c>
      <c r="D12" s="271">
        <f>SUM(D9:D11)-1</f>
        <v>115049.63</v>
      </c>
      <c r="E12" s="275">
        <f>SUM(E9:E11)</f>
        <v>0</v>
      </c>
      <c r="F12" s="186">
        <f>SUM(F9:F11)</f>
        <v>629828.9500000001</v>
      </c>
      <c r="G12" s="154"/>
      <c r="H12" s="264"/>
      <c r="I12" s="264"/>
      <c r="J12" s="264"/>
      <c r="K12" s="264"/>
      <c r="L12" s="264"/>
      <c r="M12" s="264"/>
      <c r="N12" s="264"/>
      <c r="O12" s="264"/>
      <c r="P12" s="264"/>
      <c r="Q12" s="264"/>
      <c r="R12" s="264"/>
      <c r="S12" s="264"/>
      <c r="T12" s="264"/>
      <c r="U12" s="264"/>
      <c r="V12" s="264"/>
      <c r="W12" s="264"/>
      <c r="X12" s="264"/>
      <c r="Y12" s="264"/>
      <c r="Z12" s="264"/>
      <c r="AA12" s="264"/>
      <c r="AB12" s="264"/>
      <c r="AC12" s="264"/>
      <c r="AD12" s="264"/>
      <c r="AE12" s="264"/>
      <c r="AF12" s="264"/>
      <c r="AG12" s="264"/>
      <c r="AH12" s="264"/>
      <c r="AI12" s="264"/>
      <c r="AJ12" s="264"/>
      <c r="AK12" s="264"/>
    </row>
    <row r="13" spans="2:37" s="59" customFormat="1" ht="15" customHeight="1" thickTop="1">
      <c r="B13" s="180"/>
      <c r="C13" s="180"/>
      <c r="D13" s="180"/>
      <c r="E13" s="28"/>
      <c r="F13" s="47"/>
      <c r="H13" s="264"/>
      <c r="I13" s="264"/>
      <c r="J13" s="264"/>
      <c r="K13" s="264"/>
      <c r="L13" s="264"/>
      <c r="M13" s="264"/>
      <c r="N13" s="264"/>
      <c r="O13" s="264"/>
      <c r="P13" s="264"/>
      <c r="Q13" s="264"/>
      <c r="R13" s="264"/>
      <c r="S13" s="264"/>
      <c r="T13" s="264"/>
      <c r="U13" s="264"/>
      <c r="V13" s="264"/>
      <c r="W13" s="264"/>
      <c r="X13" s="264"/>
      <c r="Y13" s="264"/>
      <c r="Z13" s="264"/>
      <c r="AA13" s="264"/>
      <c r="AB13" s="264"/>
      <c r="AC13" s="264"/>
      <c r="AD13" s="264"/>
      <c r="AE13" s="264"/>
      <c r="AF13" s="264"/>
      <c r="AG13" s="264"/>
      <c r="AH13" s="264"/>
      <c r="AI13" s="264"/>
      <c r="AJ13" s="264"/>
      <c r="AK13" s="264"/>
    </row>
    <row r="14" spans="1:37" s="59" customFormat="1" ht="30" customHeight="1">
      <c r="A14" s="266" t="s">
        <v>205</v>
      </c>
      <c r="B14" s="180"/>
      <c r="C14" s="180"/>
      <c r="D14" s="180"/>
      <c r="E14" s="28"/>
      <c r="F14" s="154"/>
      <c r="G14" s="28"/>
      <c r="H14" s="264"/>
      <c r="I14" s="264"/>
      <c r="J14" s="264"/>
      <c r="K14" s="264"/>
      <c r="L14" s="264"/>
      <c r="M14" s="264"/>
      <c r="N14" s="264"/>
      <c r="O14" s="264"/>
      <c r="P14" s="264"/>
      <c r="Q14" s="264"/>
      <c r="R14" s="264"/>
      <c r="S14" s="264"/>
      <c r="T14" s="264"/>
      <c r="U14" s="264"/>
      <c r="V14" s="264"/>
      <c r="W14" s="264"/>
      <c r="X14" s="264"/>
      <c r="Y14" s="264"/>
      <c r="Z14" s="264"/>
      <c r="AA14" s="264"/>
      <c r="AB14" s="264"/>
      <c r="AC14" s="264"/>
      <c r="AD14" s="264"/>
      <c r="AE14" s="264"/>
      <c r="AF14" s="264"/>
      <c r="AG14" s="264"/>
      <c r="AH14" s="264"/>
      <c r="AI14" s="264"/>
      <c r="AJ14" s="264"/>
      <c r="AK14" s="264"/>
    </row>
    <row r="15" spans="1:37" s="59" customFormat="1" ht="15" customHeight="1">
      <c r="A15" s="46" t="s">
        <v>201</v>
      </c>
      <c r="B15" s="180">
        <f>'[1]Unpaid Loss Expense Reserves-14'!B22</f>
        <v>92073.26000000001</v>
      </c>
      <c r="C15" s="180">
        <f>'[1]Unpaid Loss Expense Reserves-14'!C22</f>
        <v>263967.21</v>
      </c>
      <c r="D15" s="180">
        <f>'[1]Unpaid Loss Expense Reserves-14'!D22</f>
        <v>56116.200000000004</v>
      </c>
      <c r="E15" s="154">
        <f>'[1]Unpaid Loss Expense Reserves-14'!E22</f>
        <v>0</v>
      </c>
      <c r="F15" s="28">
        <f>SUM(B15:E15)-1</f>
        <v>412155.67000000004</v>
      </c>
      <c r="G15" s="28"/>
      <c r="H15" s="264"/>
      <c r="I15" s="264"/>
      <c r="J15" s="264"/>
      <c r="K15" s="264"/>
      <c r="L15" s="264"/>
      <c r="M15" s="264"/>
      <c r="N15" s="264"/>
      <c r="O15" s="264"/>
      <c r="P15" s="264"/>
      <c r="Q15" s="264"/>
      <c r="R15" s="264"/>
      <c r="S15" s="264"/>
      <c r="T15" s="264"/>
      <c r="U15" s="264"/>
      <c r="V15" s="264"/>
      <c r="W15" s="264"/>
      <c r="X15" s="264"/>
      <c r="Y15" s="264"/>
      <c r="Z15" s="264"/>
      <c r="AA15" s="264"/>
      <c r="AB15" s="264"/>
      <c r="AC15" s="264"/>
      <c r="AD15" s="264"/>
      <c r="AE15" s="264"/>
      <c r="AF15" s="264"/>
      <c r="AG15" s="264"/>
      <c r="AH15" s="264"/>
      <c r="AI15" s="264"/>
      <c r="AJ15" s="264"/>
      <c r="AK15" s="264"/>
    </row>
    <row r="16" spans="1:37" s="59" customFormat="1" ht="15" customHeight="1">
      <c r="A16" s="59" t="s">
        <v>200</v>
      </c>
      <c r="B16" s="180">
        <f>'[1]Unpaid Loss Expense Reserves-14'!B23</f>
        <v>1603.48</v>
      </c>
      <c r="C16" s="180">
        <f>'[1]Unpaid Loss Expense Reserves-14'!C23</f>
        <v>36303.86</v>
      </c>
      <c r="D16" s="28">
        <f>'[1]Unpaid Loss Expense Reserves-14'!D23</f>
        <v>576.95</v>
      </c>
      <c r="E16" s="154">
        <f>'[1]Unpaid Loss Expense Reserves-14'!E23</f>
        <v>0</v>
      </c>
      <c r="F16" s="28">
        <f>SUM(B16:E16)</f>
        <v>38484.29</v>
      </c>
      <c r="G16" s="28"/>
      <c r="H16" s="264"/>
      <c r="I16" s="264"/>
      <c r="J16" s="264"/>
      <c r="K16" s="264"/>
      <c r="L16" s="264"/>
      <c r="M16" s="264"/>
      <c r="N16" s="264"/>
      <c r="O16" s="264"/>
      <c r="P16" s="264"/>
      <c r="Q16" s="264"/>
      <c r="R16" s="264"/>
      <c r="S16" s="264"/>
      <c r="T16" s="264"/>
      <c r="U16" s="264"/>
      <c r="V16" s="264"/>
      <c r="W16" s="264"/>
      <c r="X16" s="264"/>
      <c r="Y16" s="264"/>
      <c r="Z16" s="264"/>
      <c r="AA16" s="264"/>
      <c r="AB16" s="264"/>
      <c r="AC16" s="264"/>
      <c r="AD16" s="264"/>
      <c r="AE16" s="264"/>
      <c r="AF16" s="264"/>
      <c r="AG16" s="264"/>
      <c r="AH16" s="264"/>
      <c r="AI16" s="264"/>
      <c r="AJ16" s="264"/>
      <c r="AK16" s="264"/>
    </row>
    <row r="17" spans="1:37" s="59" customFormat="1" ht="15" customHeight="1">
      <c r="A17" s="59" t="s">
        <v>199</v>
      </c>
      <c r="B17" s="154">
        <f>'[1]Unpaid Loss Expense Reserves-14'!B24</f>
        <v>0</v>
      </c>
      <c r="C17" s="154">
        <f>'[1]Unpaid Loss Expense Reserves-14'!C24</f>
        <v>0</v>
      </c>
      <c r="D17" s="154">
        <f>'[1]Unpaid Loss Expense Reserves-14'!D24</f>
        <v>0</v>
      </c>
      <c r="E17" s="154">
        <f>'[1]Unpaid Loss Expense Reserves-14'!E24</f>
        <v>0</v>
      </c>
      <c r="F17" s="154">
        <f>SUM(B17:E17)</f>
        <v>0</v>
      </c>
      <c r="G17" s="28"/>
      <c r="H17" s="264"/>
      <c r="I17" s="264"/>
      <c r="J17" s="264"/>
      <c r="K17" s="264"/>
      <c r="L17" s="264"/>
      <c r="M17" s="264"/>
      <c r="N17" s="264"/>
      <c r="O17" s="264"/>
      <c r="P17" s="264"/>
      <c r="Q17" s="264"/>
      <c r="R17" s="264"/>
      <c r="S17" s="264"/>
      <c r="T17" s="264"/>
      <c r="U17" s="264"/>
      <c r="V17" s="264"/>
      <c r="W17" s="264"/>
      <c r="X17" s="264"/>
      <c r="Y17" s="264"/>
      <c r="Z17" s="264"/>
      <c r="AA17" s="264"/>
      <c r="AB17" s="264"/>
      <c r="AC17" s="264"/>
      <c r="AD17" s="264"/>
      <c r="AE17" s="264"/>
      <c r="AF17" s="264"/>
      <c r="AG17" s="264"/>
      <c r="AH17" s="264"/>
      <c r="AI17" s="264"/>
      <c r="AJ17" s="264"/>
      <c r="AK17" s="264"/>
    </row>
    <row r="18" spans="1:37" s="59" customFormat="1" ht="15" customHeight="1" thickBot="1">
      <c r="A18" s="272" t="s">
        <v>162</v>
      </c>
      <c r="B18" s="271">
        <f>SUM(B15:B17)-1</f>
        <v>93675.74</v>
      </c>
      <c r="C18" s="271">
        <f>SUM(C15:C17)</f>
        <v>300271.07</v>
      </c>
      <c r="D18" s="271">
        <f>SUM(D15:D17)</f>
        <v>56693.15</v>
      </c>
      <c r="E18" s="275">
        <f>SUM(E15:E17)</f>
        <v>0</v>
      </c>
      <c r="F18" s="186">
        <f>SUM(F15:F17)</f>
        <v>450639.96</v>
      </c>
      <c r="G18" s="154"/>
      <c r="H18" s="264"/>
      <c r="I18" s="264"/>
      <c r="J18" s="264"/>
      <c r="K18" s="264"/>
      <c r="L18" s="264"/>
      <c r="M18" s="264"/>
      <c r="N18" s="264"/>
      <c r="O18" s="264"/>
      <c r="P18" s="264"/>
      <c r="Q18" s="264"/>
      <c r="R18" s="264"/>
      <c r="S18" s="264"/>
      <c r="T18" s="264"/>
      <c r="U18" s="264"/>
      <c r="V18" s="264"/>
      <c r="W18" s="264"/>
      <c r="X18" s="264"/>
      <c r="Y18" s="264"/>
      <c r="Z18" s="264"/>
      <c r="AA18" s="264"/>
      <c r="AB18" s="264"/>
      <c r="AC18" s="264"/>
      <c r="AD18" s="264"/>
      <c r="AE18" s="264"/>
      <c r="AF18" s="264"/>
      <c r="AG18" s="264"/>
      <c r="AH18" s="264"/>
      <c r="AI18" s="264"/>
      <c r="AJ18" s="264"/>
      <c r="AK18" s="264"/>
    </row>
    <row r="19" spans="2:37" s="59" customFormat="1" ht="15" customHeight="1" thickTop="1">
      <c r="B19" s="180"/>
      <c r="C19" s="180"/>
      <c r="D19" s="180"/>
      <c r="E19" s="28"/>
      <c r="F19" s="47"/>
      <c r="G19" s="274"/>
      <c r="H19" s="264"/>
      <c r="I19" s="264"/>
      <c r="J19" s="264"/>
      <c r="K19" s="264"/>
      <c r="L19" s="264"/>
      <c r="M19" s="264"/>
      <c r="N19" s="264"/>
      <c r="O19" s="264"/>
      <c r="P19" s="264"/>
      <c r="Q19" s="264"/>
      <c r="R19" s="264"/>
      <c r="S19" s="264"/>
      <c r="T19" s="264"/>
      <c r="U19" s="264"/>
      <c r="V19" s="264"/>
      <c r="W19" s="264"/>
      <c r="X19" s="264"/>
      <c r="Y19" s="264"/>
      <c r="Z19" s="264"/>
      <c r="AA19" s="264"/>
      <c r="AB19" s="264"/>
      <c r="AC19" s="264"/>
      <c r="AD19" s="264"/>
      <c r="AE19" s="264"/>
      <c r="AF19" s="264"/>
      <c r="AG19" s="264"/>
      <c r="AH19" s="264"/>
      <c r="AI19" s="264"/>
      <c r="AJ19" s="264"/>
      <c r="AK19" s="264"/>
    </row>
    <row r="20" spans="1:37" s="59" customFormat="1" ht="30" customHeight="1">
      <c r="A20" s="266" t="s">
        <v>209</v>
      </c>
      <c r="B20" s="189"/>
      <c r="C20" s="189"/>
      <c r="D20" s="189"/>
      <c r="E20" s="273"/>
      <c r="F20" s="154"/>
      <c r="G20" s="28"/>
      <c r="H20" s="264"/>
      <c r="I20" s="264"/>
      <c r="J20" s="264"/>
      <c r="K20" s="264"/>
      <c r="L20" s="264"/>
      <c r="M20" s="264"/>
      <c r="N20" s="264"/>
      <c r="O20" s="264"/>
      <c r="P20" s="264"/>
      <c r="Q20" s="264"/>
      <c r="R20" s="264"/>
      <c r="S20" s="264"/>
      <c r="T20" s="264"/>
      <c r="U20" s="264"/>
      <c r="V20" s="264"/>
      <c r="W20" s="264"/>
      <c r="X20" s="264"/>
      <c r="Y20" s="264"/>
      <c r="Z20" s="264"/>
      <c r="AA20" s="264"/>
      <c r="AB20" s="264"/>
      <c r="AC20" s="264"/>
      <c r="AD20" s="264"/>
      <c r="AE20" s="264"/>
      <c r="AF20" s="264"/>
      <c r="AG20" s="264"/>
      <c r="AH20" s="264"/>
      <c r="AI20" s="264"/>
      <c r="AJ20" s="264"/>
      <c r="AK20" s="264"/>
    </row>
    <row r="21" spans="1:37" s="59" customFormat="1" ht="15" customHeight="1">
      <c r="A21" s="46" t="s">
        <v>201</v>
      </c>
      <c r="B21" s="154">
        <v>0</v>
      </c>
      <c r="C21" s="180">
        <v>242224.96</v>
      </c>
      <c r="D21" s="180">
        <v>84848.75</v>
      </c>
      <c r="E21" s="180">
        <v>34469.259999999995</v>
      </c>
      <c r="F21" s="28">
        <f>SUM(B21:E21)</f>
        <v>361542.97</v>
      </c>
      <c r="G21" s="28"/>
      <c r="H21" s="264"/>
      <c r="I21" s="264"/>
      <c r="J21" s="264"/>
      <c r="K21" s="264"/>
      <c r="L21" s="264"/>
      <c r="M21" s="264"/>
      <c r="N21" s="264"/>
      <c r="O21" s="264"/>
      <c r="P21" s="264"/>
      <c r="Q21" s="264"/>
      <c r="R21" s="264"/>
      <c r="S21" s="264"/>
      <c r="T21" s="264"/>
      <c r="U21" s="264"/>
      <c r="V21" s="264"/>
      <c r="W21" s="264"/>
      <c r="X21" s="264"/>
      <c r="Y21" s="264"/>
      <c r="Z21" s="264"/>
      <c r="AA21" s="264"/>
      <c r="AB21" s="264"/>
      <c r="AC21" s="264"/>
      <c r="AD21" s="264"/>
      <c r="AE21" s="264"/>
      <c r="AF21" s="264"/>
      <c r="AG21" s="264"/>
      <c r="AH21" s="264"/>
      <c r="AI21" s="264"/>
      <c r="AJ21" s="264"/>
      <c r="AK21" s="264"/>
    </row>
    <row r="22" spans="1:37" s="59" customFormat="1" ht="15" customHeight="1">
      <c r="A22" s="59" t="s">
        <v>203</v>
      </c>
      <c r="B22" s="154">
        <v>0</v>
      </c>
      <c r="C22" s="180">
        <v>81141.23999999999</v>
      </c>
      <c r="D22" s="180">
        <v>45538.56</v>
      </c>
      <c r="E22" s="28">
        <v>4285.37</v>
      </c>
      <c r="F22" s="28">
        <f>SUM(B22:E22)</f>
        <v>130965.16999999998</v>
      </c>
      <c r="G22" s="28"/>
      <c r="H22" s="264"/>
      <c r="I22" s="264"/>
      <c r="J22" s="264"/>
      <c r="K22" s="264"/>
      <c r="L22" s="264"/>
      <c r="M22" s="264"/>
      <c r="N22" s="264"/>
      <c r="O22" s="264"/>
      <c r="P22" s="264"/>
      <c r="Q22" s="264"/>
      <c r="R22" s="264"/>
      <c r="S22" s="264"/>
      <c r="T22" s="264"/>
      <c r="U22" s="264"/>
      <c r="V22" s="264"/>
      <c r="W22" s="264"/>
      <c r="X22" s="264"/>
      <c r="Y22" s="264"/>
      <c r="Z22" s="264"/>
      <c r="AA22" s="264"/>
      <c r="AB22" s="264"/>
      <c r="AC22" s="264"/>
      <c r="AD22" s="264"/>
      <c r="AE22" s="264"/>
      <c r="AF22" s="264"/>
      <c r="AG22" s="264"/>
      <c r="AH22" s="264"/>
      <c r="AI22" s="264"/>
      <c r="AJ22" s="264"/>
      <c r="AK22" s="264"/>
    </row>
    <row r="23" spans="1:37" s="59" customFormat="1" ht="15" customHeight="1">
      <c r="A23" s="59" t="s">
        <v>199</v>
      </c>
      <c r="B23" s="154">
        <v>0</v>
      </c>
      <c r="C23" s="154">
        <v>0</v>
      </c>
      <c r="D23" s="154">
        <v>0</v>
      </c>
      <c r="E23" s="154">
        <v>0</v>
      </c>
      <c r="F23" s="154">
        <f>SUM(B23:E23)</f>
        <v>0</v>
      </c>
      <c r="G23" s="28"/>
      <c r="H23" s="264"/>
      <c r="I23" s="264"/>
      <c r="J23" s="264"/>
      <c r="K23" s="264"/>
      <c r="L23" s="264"/>
      <c r="M23" s="264"/>
      <c r="N23" s="264"/>
      <c r="O23" s="264"/>
      <c r="P23" s="264"/>
      <c r="Q23" s="264"/>
      <c r="R23" s="264"/>
      <c r="S23" s="264"/>
      <c r="T23" s="264"/>
      <c r="U23" s="264"/>
      <c r="V23" s="264"/>
      <c r="W23" s="264"/>
      <c r="X23" s="264"/>
      <c r="Y23" s="264"/>
      <c r="Z23" s="264"/>
      <c r="AA23" s="264"/>
      <c r="AB23" s="264"/>
      <c r="AC23" s="264"/>
      <c r="AD23" s="264"/>
      <c r="AE23" s="264"/>
      <c r="AF23" s="264"/>
      <c r="AG23" s="264"/>
      <c r="AH23" s="264"/>
      <c r="AI23" s="264"/>
      <c r="AJ23" s="264"/>
      <c r="AK23" s="264"/>
    </row>
    <row r="24" spans="1:37" s="59" customFormat="1" ht="15" customHeight="1" thickBot="1">
      <c r="A24" s="272" t="s">
        <v>162</v>
      </c>
      <c r="B24" s="275">
        <f>SUM(B21:B23)</f>
        <v>0</v>
      </c>
      <c r="C24" s="271">
        <f>SUM(C21:C23)</f>
        <v>323366.19999999995</v>
      </c>
      <c r="D24" s="271">
        <f>SUM(D21:D23)+1</f>
        <v>130388.31</v>
      </c>
      <c r="E24" s="271">
        <f>SUM(E21:E23)-1</f>
        <v>38753.63</v>
      </c>
      <c r="F24" s="186">
        <f>SUM(F21:F23)</f>
        <v>492508.13999999996</v>
      </c>
      <c r="G24" s="154"/>
      <c r="H24" s="264"/>
      <c r="I24" s="264"/>
      <c r="J24" s="264"/>
      <c r="K24" s="264"/>
      <c r="L24" s="264"/>
      <c r="M24" s="264"/>
      <c r="N24" s="264"/>
      <c r="O24" s="264"/>
      <c r="P24" s="264"/>
      <c r="Q24" s="264"/>
      <c r="R24" s="264"/>
      <c r="S24" s="264"/>
      <c r="T24" s="264"/>
      <c r="U24" s="264"/>
      <c r="V24" s="264"/>
      <c r="W24" s="264"/>
      <c r="X24" s="264"/>
      <c r="Y24" s="264"/>
      <c r="Z24" s="264"/>
      <c r="AA24" s="264"/>
      <c r="AB24" s="264"/>
      <c r="AC24" s="264"/>
      <c r="AD24" s="264"/>
      <c r="AE24" s="264"/>
      <c r="AF24" s="264"/>
      <c r="AG24" s="264"/>
      <c r="AH24" s="264"/>
      <c r="AI24" s="264"/>
      <c r="AJ24" s="264"/>
      <c r="AK24" s="264"/>
    </row>
    <row r="25" spans="2:37" s="267" customFormat="1" ht="15" customHeight="1" thickTop="1">
      <c r="B25" s="189"/>
      <c r="C25" s="189"/>
      <c r="D25" s="189"/>
      <c r="E25" s="189"/>
      <c r="F25" s="189"/>
      <c r="G25" s="269"/>
      <c r="H25" s="268"/>
      <c r="I25" s="268"/>
      <c r="J25" s="268"/>
      <c r="K25" s="268"/>
      <c r="L25" s="268"/>
      <c r="M25" s="268"/>
      <c r="N25" s="268"/>
      <c r="O25" s="268"/>
      <c r="P25" s="268"/>
      <c r="Q25" s="268"/>
      <c r="R25" s="268"/>
      <c r="S25" s="268"/>
      <c r="T25" s="268"/>
      <c r="U25" s="268"/>
      <c r="V25" s="268"/>
      <c r="W25" s="268"/>
      <c r="X25" s="268"/>
      <c r="Y25" s="268"/>
      <c r="Z25" s="268"/>
      <c r="AA25" s="268"/>
      <c r="AB25" s="268"/>
      <c r="AC25" s="268"/>
      <c r="AD25" s="268"/>
      <c r="AE25" s="268"/>
      <c r="AF25" s="268"/>
      <c r="AG25" s="268"/>
      <c r="AH25" s="268"/>
      <c r="AI25" s="268"/>
      <c r="AJ25" s="268"/>
      <c r="AK25" s="268"/>
    </row>
    <row r="26" spans="1:37" s="59" customFormat="1" ht="30" customHeight="1">
      <c r="A26" s="266" t="s">
        <v>202</v>
      </c>
      <c r="B26" s="180"/>
      <c r="C26" s="180"/>
      <c r="D26" s="180"/>
      <c r="E26" s="180"/>
      <c r="F26" s="180"/>
      <c r="G26" s="28"/>
      <c r="H26" s="264"/>
      <c r="I26" s="264"/>
      <c r="J26" s="264"/>
      <c r="K26" s="264"/>
      <c r="L26" s="264"/>
      <c r="M26" s="264"/>
      <c r="N26" s="264"/>
      <c r="O26" s="264"/>
      <c r="P26" s="264"/>
      <c r="Q26" s="264"/>
      <c r="R26" s="264"/>
      <c r="S26" s="264"/>
      <c r="T26" s="264"/>
      <c r="U26" s="264"/>
      <c r="V26" s="264"/>
      <c r="W26" s="264"/>
      <c r="X26" s="264"/>
      <c r="Y26" s="264"/>
      <c r="Z26" s="264"/>
      <c r="AA26" s="264"/>
      <c r="AB26" s="264"/>
      <c r="AC26" s="264"/>
      <c r="AD26" s="264"/>
      <c r="AE26" s="264"/>
      <c r="AF26" s="264"/>
      <c r="AG26" s="264"/>
      <c r="AH26" s="264"/>
      <c r="AI26" s="264"/>
      <c r="AJ26" s="264"/>
      <c r="AK26" s="264"/>
    </row>
    <row r="27" spans="1:37" s="59" customFormat="1" ht="15" customHeight="1">
      <c r="A27" s="59" t="s">
        <v>201</v>
      </c>
      <c r="B27" s="28">
        <f>B9+B15-B21</f>
        <v>135033.07</v>
      </c>
      <c r="C27" s="28">
        <f>C9+C15-C21-1</f>
        <v>319905.56000000006</v>
      </c>
      <c r="D27" s="265">
        <f>D9+D15-D21-1</f>
        <v>38040.75</v>
      </c>
      <c r="E27" s="265">
        <f>E9+E15-E21</f>
        <v>-34469.259999999995</v>
      </c>
      <c r="F27" s="28">
        <f>SUM(B27:E27)+1</f>
        <v>458511.12000000005</v>
      </c>
      <c r="G27" s="28"/>
      <c r="H27" s="264"/>
      <c r="I27" s="264"/>
      <c r="J27" s="264"/>
      <c r="K27" s="264"/>
      <c r="L27" s="264"/>
      <c r="M27" s="264"/>
      <c r="N27" s="264"/>
      <c r="O27" s="264"/>
      <c r="P27" s="264"/>
      <c r="Q27" s="264"/>
      <c r="R27" s="264"/>
      <c r="S27" s="264"/>
      <c r="T27" s="264"/>
      <c r="U27" s="264"/>
      <c r="V27" s="264"/>
      <c r="W27" s="264"/>
      <c r="X27" s="264"/>
      <c r="Y27" s="264"/>
      <c r="Z27" s="264"/>
      <c r="AA27" s="264"/>
      <c r="AB27" s="264"/>
      <c r="AC27" s="264"/>
      <c r="AD27" s="264"/>
      <c r="AE27" s="264"/>
      <c r="AF27" s="264"/>
      <c r="AG27" s="264"/>
      <c r="AH27" s="264"/>
      <c r="AI27" s="264"/>
      <c r="AJ27" s="264"/>
      <c r="AK27" s="264"/>
    </row>
    <row r="28" spans="1:37" s="59" customFormat="1" ht="15" customHeight="1">
      <c r="A28" s="59" t="s">
        <v>200</v>
      </c>
      <c r="B28" s="28">
        <f>B10+B16-B22</f>
        <v>12391.3</v>
      </c>
      <c r="C28" s="28">
        <f>C10+C16-C22</f>
        <v>117900.10999999999</v>
      </c>
      <c r="D28" s="265">
        <f>D10+D16-D22-1</f>
        <v>3313.720000000001</v>
      </c>
      <c r="E28" s="265">
        <f>E10+E16-E22</f>
        <v>-4285.37</v>
      </c>
      <c r="F28" s="28">
        <f>SUM(B28:E28)</f>
        <v>129319.76000000001</v>
      </c>
      <c r="G28" s="28"/>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row>
    <row r="29" spans="1:37" s="59" customFormat="1" ht="15" customHeight="1">
      <c r="A29" s="59" t="s">
        <v>199</v>
      </c>
      <c r="B29" s="154">
        <f>B11+B17-B23</f>
        <v>0</v>
      </c>
      <c r="C29" s="28">
        <f>C11+C17-C23</f>
        <v>129.89</v>
      </c>
      <c r="D29" s="154">
        <f>D11+D17-D23</f>
        <v>0</v>
      </c>
      <c r="E29" s="154">
        <f>E11+E17-E23</f>
        <v>0</v>
      </c>
      <c r="F29" s="28">
        <f>SUM(B29:E29)</f>
        <v>129.89</v>
      </c>
      <c r="G29" s="28"/>
      <c r="H29" s="264"/>
      <c r="I29" s="264"/>
      <c r="J29" s="264"/>
      <c r="K29" s="264"/>
      <c r="L29" s="264"/>
      <c r="M29" s="264"/>
      <c r="N29" s="264"/>
      <c r="O29" s="264"/>
      <c r="P29" s="264"/>
      <c r="Q29" s="264"/>
      <c r="R29" s="264"/>
      <c r="S29" s="264"/>
      <c r="T29" s="264"/>
      <c r="U29" s="264"/>
      <c r="V29" s="264"/>
      <c r="W29" s="264"/>
      <c r="X29" s="264"/>
      <c r="Y29" s="264"/>
      <c r="Z29" s="264"/>
      <c r="AA29" s="264"/>
      <c r="AB29" s="264"/>
      <c r="AC29" s="264"/>
      <c r="AD29" s="264"/>
      <c r="AE29" s="264"/>
      <c r="AF29" s="264"/>
      <c r="AG29" s="264"/>
      <c r="AH29" s="264"/>
      <c r="AI29" s="264"/>
      <c r="AJ29" s="264"/>
      <c r="AK29" s="264"/>
    </row>
    <row r="30" spans="1:37" ht="15" customHeight="1" thickBot="1">
      <c r="A30" s="74" t="s">
        <v>162</v>
      </c>
      <c r="B30" s="263">
        <f>SUM(B27:B29)</f>
        <v>147424.37</v>
      </c>
      <c r="C30" s="263">
        <f>SUM(C27:C29)</f>
        <v>437935.56000000006</v>
      </c>
      <c r="D30" s="263">
        <f>SUM(D27:D29)+1</f>
        <v>41355.47</v>
      </c>
      <c r="E30" s="263">
        <f>SUM(E27:E29)+1</f>
        <v>-38753.63</v>
      </c>
      <c r="F30" s="263">
        <f>SUM(F27:F29)</f>
        <v>587960.7700000001</v>
      </c>
      <c r="G30" s="28"/>
      <c r="H30" s="261"/>
      <c r="I30" s="261"/>
      <c r="J30" s="261"/>
      <c r="K30" s="261"/>
      <c r="L30" s="261"/>
      <c r="M30" s="261"/>
      <c r="N30" s="261"/>
      <c r="O30" s="261"/>
      <c r="P30" s="261"/>
      <c r="Q30" s="261"/>
      <c r="R30" s="261"/>
      <c r="S30" s="261"/>
      <c r="T30" s="261"/>
      <c r="U30" s="261"/>
      <c r="V30" s="261"/>
      <c r="W30" s="261"/>
      <c r="X30" s="261"/>
      <c r="Y30" s="261"/>
      <c r="Z30" s="261"/>
      <c r="AA30" s="261"/>
      <c r="AB30" s="261"/>
      <c r="AC30" s="261"/>
      <c r="AD30" s="261"/>
      <c r="AE30" s="261"/>
      <c r="AF30" s="261"/>
      <c r="AG30" s="261"/>
      <c r="AH30" s="261"/>
      <c r="AI30" s="261"/>
      <c r="AJ30" s="261"/>
      <c r="AK30" s="261"/>
    </row>
    <row r="31" spans="2:38" ht="15" customHeight="1" thickTop="1">
      <c r="B31" s="171"/>
      <c r="C31" s="171"/>
      <c r="D31" s="171"/>
      <c r="F31" s="28"/>
      <c r="H31" s="262"/>
      <c r="I31" s="261"/>
      <c r="J31" s="261"/>
      <c r="K31" s="261"/>
      <c r="L31" s="261"/>
      <c r="M31" s="261"/>
      <c r="N31" s="261"/>
      <c r="O31" s="261"/>
      <c r="P31" s="261"/>
      <c r="Q31" s="261"/>
      <c r="R31" s="261"/>
      <c r="S31" s="261"/>
      <c r="T31" s="261"/>
      <c r="U31" s="261"/>
      <c r="V31" s="261"/>
      <c r="W31" s="261"/>
      <c r="X31" s="261"/>
      <c r="Y31" s="261"/>
      <c r="Z31" s="261"/>
      <c r="AA31" s="261"/>
      <c r="AB31" s="261"/>
      <c r="AC31" s="261"/>
      <c r="AD31" s="261"/>
      <c r="AE31" s="261"/>
      <c r="AF31" s="261"/>
      <c r="AG31" s="261"/>
      <c r="AH31" s="261"/>
      <c r="AI31" s="261"/>
      <c r="AJ31" s="261"/>
      <c r="AK31" s="261"/>
      <c r="AL31" s="261"/>
    </row>
    <row r="32" spans="2:38" s="47" customFormat="1" ht="15" customHeight="1">
      <c r="B32" s="171"/>
      <c r="C32" s="171"/>
      <c r="D32" s="171"/>
      <c r="G32" s="28"/>
      <c r="H32" s="28"/>
      <c r="I32" s="28"/>
      <c r="J32" s="28"/>
      <c r="K32" s="28"/>
      <c r="L32" s="28"/>
      <c r="M32" s="28"/>
      <c r="N32" s="28"/>
      <c r="O32" s="28"/>
      <c r="P32" s="28"/>
      <c r="Q32" s="28"/>
      <c r="R32" s="28"/>
      <c r="S32" s="28"/>
      <c r="T32" s="28"/>
      <c r="U32" s="28"/>
      <c r="V32" s="28"/>
      <c r="W32" s="28"/>
      <c r="X32" s="28"/>
      <c r="Y32" s="28"/>
      <c r="Z32" s="28"/>
      <c r="AA32" s="28"/>
      <c r="AB32" s="28"/>
      <c r="AC32" s="28"/>
      <c r="AD32" s="28"/>
      <c r="AE32" s="28"/>
      <c r="AF32" s="28"/>
      <c r="AG32" s="28"/>
      <c r="AH32" s="28"/>
      <c r="AI32" s="28"/>
      <c r="AJ32" s="28"/>
      <c r="AK32" s="28"/>
      <c r="AL32" s="28"/>
    </row>
    <row r="33" spans="2:38" ht="15" customHeight="1">
      <c r="B33" s="171"/>
      <c r="C33" s="171"/>
      <c r="D33" s="171"/>
      <c r="F33" s="28"/>
      <c r="G33" s="28"/>
      <c r="H33" s="261"/>
      <c r="I33" s="261"/>
      <c r="J33" s="261"/>
      <c r="K33" s="261"/>
      <c r="L33" s="261"/>
      <c r="M33" s="261"/>
      <c r="N33" s="261"/>
      <c r="O33" s="261"/>
      <c r="P33" s="261"/>
      <c r="Q33" s="261"/>
      <c r="R33" s="261"/>
      <c r="S33" s="261"/>
      <c r="T33" s="261"/>
      <c r="U33" s="261"/>
      <c r="V33" s="261"/>
      <c r="W33" s="261"/>
      <c r="X33" s="261"/>
      <c r="Y33" s="261"/>
      <c r="Z33" s="261"/>
      <c r="AA33" s="261"/>
      <c r="AB33" s="261"/>
      <c r="AC33" s="261"/>
      <c r="AD33" s="261"/>
      <c r="AE33" s="261"/>
      <c r="AF33" s="261"/>
      <c r="AG33" s="261"/>
      <c r="AH33" s="261"/>
      <c r="AI33" s="261"/>
      <c r="AJ33" s="261"/>
      <c r="AK33" s="261"/>
      <c r="AL33" s="261"/>
    </row>
    <row r="34" spans="2:38" ht="15" customHeight="1">
      <c r="B34" s="171"/>
      <c r="C34" s="171"/>
      <c r="D34" s="171"/>
      <c r="F34" s="28"/>
      <c r="G34" s="28"/>
      <c r="H34" s="261"/>
      <c r="I34" s="261"/>
      <c r="J34" s="261"/>
      <c r="K34" s="261"/>
      <c r="L34" s="261"/>
      <c r="M34" s="261"/>
      <c r="N34" s="261"/>
      <c r="O34" s="261"/>
      <c r="P34" s="261"/>
      <c r="Q34" s="261"/>
      <c r="R34" s="261"/>
      <c r="S34" s="261"/>
      <c r="T34" s="261"/>
      <c r="U34" s="261"/>
      <c r="V34" s="261"/>
      <c r="W34" s="261"/>
      <c r="X34" s="261"/>
      <c r="Y34" s="261"/>
      <c r="Z34" s="261"/>
      <c r="AA34" s="261"/>
      <c r="AB34" s="261"/>
      <c r="AC34" s="261"/>
      <c r="AD34" s="261"/>
      <c r="AE34" s="261"/>
      <c r="AF34" s="261"/>
      <c r="AG34" s="261"/>
      <c r="AH34" s="261"/>
      <c r="AI34" s="261"/>
      <c r="AJ34" s="261"/>
      <c r="AK34" s="261"/>
      <c r="AL34" s="261"/>
    </row>
    <row r="35" spans="2:38" ht="15" customHeight="1">
      <c r="B35" s="171"/>
      <c r="C35" s="171"/>
      <c r="D35" s="171"/>
      <c r="F35" s="28"/>
      <c r="G35" s="28"/>
      <c r="H35" s="261"/>
      <c r="I35" s="261"/>
      <c r="J35" s="261"/>
      <c r="K35" s="261"/>
      <c r="L35" s="261"/>
      <c r="M35" s="261"/>
      <c r="N35" s="261"/>
      <c r="O35" s="261"/>
      <c r="P35" s="261"/>
      <c r="Q35" s="261"/>
      <c r="R35" s="261"/>
      <c r="S35" s="261"/>
      <c r="T35" s="261"/>
      <c r="U35" s="261"/>
      <c r="V35" s="261"/>
      <c r="W35" s="261"/>
      <c r="X35" s="261"/>
      <c r="Y35" s="261"/>
      <c r="Z35" s="261"/>
      <c r="AA35" s="261"/>
      <c r="AB35" s="261"/>
      <c r="AC35" s="261"/>
      <c r="AD35" s="261"/>
      <c r="AE35" s="261"/>
      <c r="AF35" s="261"/>
      <c r="AG35" s="261"/>
      <c r="AH35" s="261"/>
      <c r="AI35" s="261"/>
      <c r="AJ35" s="261"/>
      <c r="AK35" s="261"/>
      <c r="AL35" s="261"/>
    </row>
    <row r="36" spans="2:38" ht="15" customHeight="1">
      <c r="B36" s="171"/>
      <c r="C36" s="171"/>
      <c r="D36" s="171"/>
      <c r="F36" s="28"/>
      <c r="G36" s="28"/>
      <c r="H36" s="261"/>
      <c r="I36" s="261"/>
      <c r="J36" s="261"/>
      <c r="K36" s="261"/>
      <c r="L36" s="261"/>
      <c r="M36" s="261"/>
      <c r="N36" s="261"/>
      <c r="O36" s="261"/>
      <c r="P36" s="261"/>
      <c r="Q36" s="261"/>
      <c r="R36" s="261"/>
      <c r="S36" s="261"/>
      <c r="T36" s="261"/>
      <c r="U36" s="261"/>
      <c r="V36" s="261"/>
      <c r="W36" s="261"/>
      <c r="X36" s="261"/>
      <c r="Y36" s="261"/>
      <c r="Z36" s="261"/>
      <c r="AA36" s="261"/>
      <c r="AB36" s="261"/>
      <c r="AC36" s="261"/>
      <c r="AD36" s="261"/>
      <c r="AE36" s="261"/>
      <c r="AF36" s="261"/>
      <c r="AG36" s="261"/>
      <c r="AH36" s="261"/>
      <c r="AI36" s="261"/>
      <c r="AJ36" s="261"/>
      <c r="AK36" s="261"/>
      <c r="AL36" s="261"/>
    </row>
    <row r="37" spans="2:38" ht="15" customHeight="1">
      <c r="B37" s="171"/>
      <c r="C37" s="171"/>
      <c r="D37" s="171"/>
      <c r="F37" s="28"/>
      <c r="G37" s="28"/>
      <c r="H37" s="261"/>
      <c r="I37" s="261"/>
      <c r="J37" s="261"/>
      <c r="K37" s="261"/>
      <c r="L37" s="261"/>
      <c r="M37" s="261"/>
      <c r="N37" s="261"/>
      <c r="O37" s="261"/>
      <c r="P37" s="261"/>
      <c r="Q37" s="261"/>
      <c r="R37" s="261"/>
      <c r="S37" s="261"/>
      <c r="T37" s="261"/>
      <c r="U37" s="261"/>
      <c r="V37" s="261"/>
      <c r="W37" s="261"/>
      <c r="X37" s="261"/>
      <c r="Y37" s="261"/>
      <c r="Z37" s="261"/>
      <c r="AA37" s="261"/>
      <c r="AB37" s="261"/>
      <c r="AC37" s="261"/>
      <c r="AD37" s="261"/>
      <c r="AE37" s="261"/>
      <c r="AF37" s="261"/>
      <c r="AG37" s="261"/>
      <c r="AH37" s="261"/>
      <c r="AI37" s="261"/>
      <c r="AJ37" s="261"/>
      <c r="AK37" s="261"/>
      <c r="AL37" s="261"/>
    </row>
    <row r="38" spans="6:38" ht="15" customHeight="1">
      <c r="F38" s="28"/>
      <c r="G38" s="28"/>
      <c r="H38" s="261"/>
      <c r="I38" s="261"/>
      <c r="J38" s="261"/>
      <c r="K38" s="261"/>
      <c r="L38" s="261"/>
      <c r="M38" s="261"/>
      <c r="N38" s="261"/>
      <c r="O38" s="261"/>
      <c r="P38" s="261"/>
      <c r="Q38" s="261"/>
      <c r="R38" s="261"/>
      <c r="S38" s="261"/>
      <c r="T38" s="261"/>
      <c r="U38" s="261"/>
      <c r="V38" s="261"/>
      <c r="W38" s="261"/>
      <c r="X38" s="261"/>
      <c r="Y38" s="261"/>
      <c r="Z38" s="261"/>
      <c r="AA38" s="261"/>
      <c r="AB38" s="261"/>
      <c r="AC38" s="261"/>
      <c r="AD38" s="261"/>
      <c r="AE38" s="261"/>
      <c r="AF38" s="261"/>
      <c r="AG38" s="261"/>
      <c r="AH38" s="261"/>
      <c r="AI38" s="261"/>
      <c r="AJ38" s="261"/>
      <c r="AK38" s="261"/>
      <c r="AL38" s="261"/>
    </row>
    <row r="39" spans="6:38" ht="15" customHeight="1">
      <c r="F39" s="28"/>
      <c r="G39" s="28"/>
      <c r="H39" s="261"/>
      <c r="I39" s="261"/>
      <c r="J39" s="261"/>
      <c r="K39" s="261"/>
      <c r="L39" s="261"/>
      <c r="M39" s="261"/>
      <c r="N39" s="261"/>
      <c r="O39" s="261"/>
      <c r="P39" s="261"/>
      <c r="Q39" s="261"/>
      <c r="R39" s="261"/>
      <c r="S39" s="261"/>
      <c r="T39" s="261"/>
      <c r="U39" s="261"/>
      <c r="V39" s="261"/>
      <c r="W39" s="261"/>
      <c r="X39" s="261"/>
      <c r="Y39" s="261"/>
      <c r="Z39" s="261"/>
      <c r="AA39" s="261"/>
      <c r="AB39" s="261"/>
      <c r="AC39" s="261"/>
      <c r="AD39" s="261"/>
      <c r="AE39" s="261"/>
      <c r="AF39" s="261"/>
      <c r="AG39" s="261"/>
      <c r="AH39" s="261"/>
      <c r="AI39" s="261"/>
      <c r="AJ39" s="261"/>
      <c r="AK39" s="261"/>
      <c r="AL39" s="261"/>
    </row>
    <row r="40" spans="6:38" ht="15" customHeight="1">
      <c r="F40" s="28"/>
      <c r="G40" s="28"/>
      <c r="H40" s="261"/>
      <c r="I40" s="261"/>
      <c r="J40" s="261"/>
      <c r="K40" s="261"/>
      <c r="L40" s="261"/>
      <c r="M40" s="261"/>
      <c r="N40" s="261"/>
      <c r="O40" s="261"/>
      <c r="P40" s="261"/>
      <c r="Q40" s="261"/>
      <c r="R40" s="261"/>
      <c r="S40" s="261"/>
      <c r="T40" s="261"/>
      <c r="U40" s="261"/>
      <c r="V40" s="261"/>
      <c r="W40" s="261"/>
      <c r="X40" s="261"/>
      <c r="Y40" s="261"/>
      <c r="Z40" s="261"/>
      <c r="AA40" s="261"/>
      <c r="AB40" s="261"/>
      <c r="AC40" s="261"/>
      <c r="AD40" s="261"/>
      <c r="AE40" s="261"/>
      <c r="AF40" s="261"/>
      <c r="AG40" s="261"/>
      <c r="AH40" s="261"/>
      <c r="AI40" s="261"/>
      <c r="AJ40" s="261"/>
      <c r="AK40" s="261"/>
      <c r="AL40" s="261"/>
    </row>
    <row r="41" spans="6:38" ht="15" customHeight="1">
      <c r="F41" s="28"/>
      <c r="G41" s="28"/>
      <c r="H41" s="261"/>
      <c r="I41" s="261"/>
      <c r="J41" s="261"/>
      <c r="K41" s="261"/>
      <c r="L41" s="261"/>
      <c r="M41" s="261"/>
      <c r="N41" s="261"/>
      <c r="O41" s="261"/>
      <c r="P41" s="261"/>
      <c r="Q41" s="261"/>
      <c r="R41" s="261"/>
      <c r="S41" s="261"/>
      <c r="T41" s="261"/>
      <c r="U41" s="261"/>
      <c r="V41" s="261"/>
      <c r="W41" s="261"/>
      <c r="X41" s="261"/>
      <c r="Y41" s="261"/>
      <c r="Z41" s="261"/>
      <c r="AA41" s="261"/>
      <c r="AB41" s="261"/>
      <c r="AC41" s="261"/>
      <c r="AD41" s="261"/>
      <c r="AE41" s="261"/>
      <c r="AF41" s="261"/>
      <c r="AG41" s="261"/>
      <c r="AH41" s="261"/>
      <c r="AI41" s="261"/>
      <c r="AJ41" s="261"/>
      <c r="AK41" s="261"/>
      <c r="AL41" s="261"/>
    </row>
    <row r="42" spans="6:38" ht="15" customHeight="1">
      <c r="F42" s="28"/>
      <c r="G42" s="28"/>
      <c r="H42" s="261"/>
      <c r="I42" s="261"/>
      <c r="J42" s="261"/>
      <c r="K42" s="261"/>
      <c r="L42" s="261"/>
      <c r="M42" s="261"/>
      <c r="N42" s="261"/>
      <c r="O42" s="261"/>
      <c r="P42" s="261"/>
      <c r="Q42" s="261"/>
      <c r="R42" s="261"/>
      <c r="S42" s="261"/>
      <c r="T42" s="261"/>
      <c r="U42" s="261"/>
      <c r="V42" s="261"/>
      <c r="W42" s="261"/>
      <c r="X42" s="261"/>
      <c r="Y42" s="261"/>
      <c r="Z42" s="261"/>
      <c r="AA42" s="261"/>
      <c r="AB42" s="261"/>
      <c r="AC42" s="261"/>
      <c r="AD42" s="261"/>
      <c r="AE42" s="261"/>
      <c r="AF42" s="261"/>
      <c r="AG42" s="261"/>
      <c r="AH42" s="261"/>
      <c r="AI42" s="261"/>
      <c r="AJ42" s="261"/>
      <c r="AK42" s="261"/>
      <c r="AL42" s="261"/>
    </row>
    <row r="43" spans="6:38" ht="15" customHeight="1">
      <c r="F43" s="28"/>
      <c r="G43" s="28"/>
      <c r="H43" s="261"/>
      <c r="I43" s="261"/>
      <c r="J43" s="261"/>
      <c r="K43" s="261"/>
      <c r="L43" s="261"/>
      <c r="M43" s="261"/>
      <c r="N43" s="261"/>
      <c r="O43" s="261"/>
      <c r="P43" s="261"/>
      <c r="Q43" s="261"/>
      <c r="R43" s="261"/>
      <c r="S43" s="261"/>
      <c r="T43" s="261"/>
      <c r="U43" s="261"/>
      <c r="V43" s="261"/>
      <c r="W43" s="261"/>
      <c r="X43" s="261"/>
      <c r="Y43" s="261"/>
      <c r="Z43" s="261"/>
      <c r="AA43" s="261"/>
      <c r="AB43" s="261"/>
      <c r="AC43" s="261"/>
      <c r="AD43" s="261"/>
      <c r="AE43" s="261"/>
      <c r="AF43" s="261"/>
      <c r="AG43" s="261"/>
      <c r="AH43" s="261"/>
      <c r="AI43" s="261"/>
      <c r="AJ43" s="261"/>
      <c r="AK43" s="261"/>
      <c r="AL43" s="261"/>
    </row>
    <row r="44" spans="6:38" ht="15" customHeight="1">
      <c r="F44" s="28"/>
      <c r="G44" s="28"/>
      <c r="H44" s="261"/>
      <c r="I44" s="261"/>
      <c r="J44" s="261"/>
      <c r="K44" s="261"/>
      <c r="L44" s="261"/>
      <c r="M44" s="261"/>
      <c r="N44" s="261"/>
      <c r="O44" s="261"/>
      <c r="P44" s="261"/>
      <c r="Q44" s="261"/>
      <c r="R44" s="261"/>
      <c r="S44" s="261"/>
      <c r="T44" s="261"/>
      <c r="U44" s="261"/>
      <c r="V44" s="261"/>
      <c r="W44" s="261"/>
      <c r="X44" s="261"/>
      <c r="Y44" s="261"/>
      <c r="Z44" s="261"/>
      <c r="AA44" s="261"/>
      <c r="AB44" s="261"/>
      <c r="AC44" s="261"/>
      <c r="AD44" s="261"/>
      <c r="AE44" s="261"/>
      <c r="AF44" s="261"/>
      <c r="AG44" s="261"/>
      <c r="AH44" s="261"/>
      <c r="AI44" s="261"/>
      <c r="AJ44" s="261"/>
      <c r="AK44" s="261"/>
      <c r="AL44" s="261"/>
    </row>
    <row r="45" spans="6:38" ht="15" customHeight="1">
      <c r="F45" s="28"/>
      <c r="G45" s="28"/>
      <c r="H45" s="261"/>
      <c r="I45" s="261"/>
      <c r="J45" s="261"/>
      <c r="K45" s="261"/>
      <c r="L45" s="261"/>
      <c r="M45" s="261"/>
      <c r="N45" s="261"/>
      <c r="O45" s="261"/>
      <c r="P45" s="261"/>
      <c r="Q45" s="261"/>
      <c r="R45" s="261"/>
      <c r="S45" s="261"/>
      <c r="T45" s="261"/>
      <c r="U45" s="261"/>
      <c r="V45" s="261"/>
      <c r="W45" s="261"/>
      <c r="X45" s="261"/>
      <c r="Y45" s="261"/>
      <c r="Z45" s="261"/>
      <c r="AA45" s="261"/>
      <c r="AB45" s="261"/>
      <c r="AC45" s="261"/>
      <c r="AD45" s="261"/>
      <c r="AE45" s="261"/>
      <c r="AF45" s="261"/>
      <c r="AG45" s="261"/>
      <c r="AH45" s="261"/>
      <c r="AI45" s="261"/>
      <c r="AJ45" s="261"/>
      <c r="AK45" s="261"/>
      <c r="AL45" s="261"/>
    </row>
    <row r="46" spans="6:38" ht="15" customHeight="1">
      <c r="F46" s="28"/>
      <c r="G46" s="28"/>
      <c r="H46" s="261"/>
      <c r="I46" s="261"/>
      <c r="J46" s="261"/>
      <c r="K46" s="261"/>
      <c r="L46" s="261"/>
      <c r="M46" s="261"/>
      <c r="N46" s="261"/>
      <c r="O46" s="261"/>
      <c r="P46" s="261"/>
      <c r="Q46" s="261"/>
      <c r="R46" s="261"/>
      <c r="S46" s="261"/>
      <c r="T46" s="261"/>
      <c r="U46" s="261"/>
      <c r="V46" s="261"/>
      <c r="W46" s="261"/>
      <c r="X46" s="261"/>
      <c r="Y46" s="261"/>
      <c r="Z46" s="261"/>
      <c r="AA46" s="261"/>
      <c r="AB46" s="261"/>
      <c r="AC46" s="261"/>
      <c r="AD46" s="261"/>
      <c r="AE46" s="261"/>
      <c r="AF46" s="261"/>
      <c r="AG46" s="261"/>
      <c r="AH46" s="261"/>
      <c r="AI46" s="261"/>
      <c r="AJ46" s="261"/>
      <c r="AK46" s="261"/>
      <c r="AL46" s="261"/>
    </row>
    <row r="47" spans="6:38" ht="15" customHeight="1">
      <c r="F47" s="28"/>
      <c r="G47" s="28"/>
      <c r="H47" s="261"/>
      <c r="I47" s="261"/>
      <c r="J47" s="261"/>
      <c r="K47" s="261"/>
      <c r="L47" s="261"/>
      <c r="M47" s="261"/>
      <c r="N47" s="261"/>
      <c r="O47" s="261"/>
      <c r="P47" s="261"/>
      <c r="Q47" s="261"/>
      <c r="R47" s="261"/>
      <c r="S47" s="261"/>
      <c r="T47" s="261"/>
      <c r="U47" s="261"/>
      <c r="V47" s="261"/>
      <c r="W47" s="261"/>
      <c r="X47" s="261"/>
      <c r="Y47" s="261"/>
      <c r="Z47" s="261"/>
      <c r="AA47" s="261"/>
      <c r="AB47" s="261"/>
      <c r="AC47" s="261"/>
      <c r="AD47" s="261"/>
      <c r="AE47" s="261"/>
      <c r="AF47" s="261"/>
      <c r="AG47" s="261"/>
      <c r="AH47" s="261"/>
      <c r="AI47" s="261"/>
      <c r="AJ47" s="261"/>
      <c r="AK47" s="261"/>
      <c r="AL47" s="261"/>
    </row>
    <row r="48" spans="6:38" ht="15" customHeight="1">
      <c r="F48" s="28"/>
      <c r="G48" s="28"/>
      <c r="H48" s="261"/>
      <c r="I48" s="261"/>
      <c r="J48" s="261"/>
      <c r="K48" s="261"/>
      <c r="L48" s="261"/>
      <c r="M48" s="261"/>
      <c r="N48" s="261"/>
      <c r="O48" s="261"/>
      <c r="P48" s="261"/>
      <c r="Q48" s="261"/>
      <c r="R48" s="261"/>
      <c r="S48" s="261"/>
      <c r="T48" s="261"/>
      <c r="U48" s="261"/>
      <c r="V48" s="261"/>
      <c r="W48" s="261"/>
      <c r="X48" s="261"/>
      <c r="Y48" s="261"/>
      <c r="Z48" s="261"/>
      <c r="AA48" s="261"/>
      <c r="AB48" s="261"/>
      <c r="AC48" s="261"/>
      <c r="AD48" s="261"/>
      <c r="AE48" s="261"/>
      <c r="AF48" s="261"/>
      <c r="AG48" s="261"/>
      <c r="AH48" s="261"/>
      <c r="AI48" s="261"/>
      <c r="AJ48" s="261"/>
      <c r="AK48" s="261"/>
      <c r="AL48" s="261"/>
    </row>
    <row r="49" spans="6:38" s="46" customFormat="1" ht="15" customHeight="1">
      <c r="F49" s="28"/>
      <c r="G49" s="28"/>
      <c r="H49" s="261"/>
      <c r="I49" s="261"/>
      <c r="J49" s="261"/>
      <c r="K49" s="261"/>
      <c r="L49" s="261"/>
      <c r="M49" s="261"/>
      <c r="N49" s="261"/>
      <c r="O49" s="261"/>
      <c r="P49" s="261"/>
      <c r="Q49" s="261"/>
      <c r="R49" s="261"/>
      <c r="S49" s="261"/>
      <c r="T49" s="261"/>
      <c r="U49" s="261"/>
      <c r="V49" s="261"/>
      <c r="W49" s="261"/>
      <c r="X49" s="261"/>
      <c r="Y49" s="261"/>
      <c r="Z49" s="261"/>
      <c r="AA49" s="261"/>
      <c r="AB49" s="261"/>
      <c r="AC49" s="261"/>
      <c r="AD49" s="261"/>
      <c r="AE49" s="261"/>
      <c r="AF49" s="261"/>
      <c r="AG49" s="261"/>
      <c r="AH49" s="261"/>
      <c r="AI49" s="261"/>
      <c r="AJ49" s="261"/>
      <c r="AK49" s="261"/>
      <c r="AL49" s="261"/>
    </row>
    <row r="50" spans="6:38" s="46" customFormat="1" ht="15" customHeight="1">
      <c r="F50" s="28"/>
      <c r="G50" s="28"/>
      <c r="H50" s="261"/>
      <c r="I50" s="261"/>
      <c r="J50" s="261"/>
      <c r="K50" s="261"/>
      <c r="L50" s="261"/>
      <c r="M50" s="261"/>
      <c r="N50" s="261"/>
      <c r="O50" s="261"/>
      <c r="P50" s="261"/>
      <c r="Q50" s="261"/>
      <c r="R50" s="261"/>
      <c r="S50" s="261"/>
      <c r="T50" s="261"/>
      <c r="U50" s="261"/>
      <c r="V50" s="261"/>
      <c r="W50" s="261"/>
      <c r="X50" s="261"/>
      <c r="Y50" s="261"/>
      <c r="Z50" s="261"/>
      <c r="AA50" s="261"/>
      <c r="AB50" s="261"/>
      <c r="AC50" s="261"/>
      <c r="AD50" s="261"/>
      <c r="AE50" s="261"/>
      <c r="AF50" s="261"/>
      <c r="AG50" s="261"/>
      <c r="AH50" s="261"/>
      <c r="AI50" s="261"/>
      <c r="AJ50" s="261"/>
      <c r="AK50" s="261"/>
      <c r="AL50" s="261"/>
    </row>
    <row r="51" spans="6:38" s="46" customFormat="1" ht="15" customHeight="1">
      <c r="F51" s="28"/>
      <c r="G51" s="28"/>
      <c r="H51" s="261"/>
      <c r="I51" s="261"/>
      <c r="J51" s="261"/>
      <c r="K51" s="261"/>
      <c r="L51" s="261"/>
      <c r="M51" s="261"/>
      <c r="N51" s="261"/>
      <c r="O51" s="261"/>
      <c r="P51" s="261"/>
      <c r="Q51" s="261"/>
      <c r="R51" s="261"/>
      <c r="S51" s="261"/>
      <c r="T51" s="261"/>
      <c r="U51" s="261"/>
      <c r="V51" s="261"/>
      <c r="W51" s="261"/>
      <c r="X51" s="261"/>
      <c r="Y51" s="261"/>
      <c r="Z51" s="261"/>
      <c r="AA51" s="261"/>
      <c r="AB51" s="261"/>
      <c r="AC51" s="261"/>
      <c r="AD51" s="261"/>
      <c r="AE51" s="261"/>
      <c r="AF51" s="261"/>
      <c r="AG51" s="261"/>
      <c r="AH51" s="261"/>
      <c r="AI51" s="261"/>
      <c r="AJ51" s="261"/>
      <c r="AK51" s="261"/>
      <c r="AL51" s="261"/>
    </row>
    <row r="52" spans="6:38" s="46" customFormat="1" ht="15" customHeight="1">
      <c r="F52" s="28"/>
      <c r="G52" s="28"/>
      <c r="H52" s="261"/>
      <c r="I52" s="261"/>
      <c r="J52" s="261"/>
      <c r="K52" s="261"/>
      <c r="L52" s="261"/>
      <c r="M52" s="261"/>
      <c r="N52" s="261"/>
      <c r="O52" s="261"/>
      <c r="P52" s="261"/>
      <c r="Q52" s="261"/>
      <c r="R52" s="261"/>
      <c r="S52" s="261"/>
      <c r="T52" s="261"/>
      <c r="U52" s="261"/>
      <c r="V52" s="261"/>
      <c r="W52" s="261"/>
      <c r="X52" s="261"/>
      <c r="Y52" s="261"/>
      <c r="Z52" s="261"/>
      <c r="AA52" s="261"/>
      <c r="AB52" s="261"/>
      <c r="AC52" s="261"/>
      <c r="AD52" s="261"/>
      <c r="AE52" s="261"/>
      <c r="AF52" s="261"/>
      <c r="AG52" s="261"/>
      <c r="AH52" s="261"/>
      <c r="AI52" s="261"/>
      <c r="AJ52" s="261"/>
      <c r="AK52" s="261"/>
      <c r="AL52" s="261"/>
    </row>
    <row r="53" spans="6:38" s="46" customFormat="1" ht="15" customHeight="1">
      <c r="F53" s="28"/>
      <c r="G53" s="28"/>
      <c r="H53" s="261"/>
      <c r="I53" s="261"/>
      <c r="J53" s="261"/>
      <c r="K53" s="261"/>
      <c r="L53" s="261"/>
      <c r="M53" s="261"/>
      <c r="N53" s="261"/>
      <c r="O53" s="261"/>
      <c r="P53" s="261"/>
      <c r="Q53" s="261"/>
      <c r="R53" s="261"/>
      <c r="S53" s="261"/>
      <c r="T53" s="261"/>
      <c r="U53" s="261"/>
      <c r="V53" s="261"/>
      <c r="W53" s="261"/>
      <c r="X53" s="261"/>
      <c r="Y53" s="261"/>
      <c r="Z53" s="261"/>
      <c r="AA53" s="261"/>
      <c r="AB53" s="261"/>
      <c r="AC53" s="261"/>
      <c r="AD53" s="261"/>
      <c r="AE53" s="261"/>
      <c r="AF53" s="261"/>
      <c r="AG53" s="261"/>
      <c r="AH53" s="261"/>
      <c r="AI53" s="261"/>
      <c r="AJ53" s="261"/>
      <c r="AK53" s="261"/>
      <c r="AL53" s="261"/>
    </row>
    <row r="54" spans="6:38" s="46" customFormat="1" ht="15" customHeight="1">
      <c r="F54" s="28"/>
      <c r="G54" s="28"/>
      <c r="H54" s="261"/>
      <c r="I54" s="261"/>
      <c r="J54" s="261"/>
      <c r="K54" s="261"/>
      <c r="L54" s="261"/>
      <c r="M54" s="261"/>
      <c r="N54" s="261"/>
      <c r="O54" s="261"/>
      <c r="P54" s="261"/>
      <c r="Q54" s="261"/>
      <c r="R54" s="261"/>
      <c r="S54" s="261"/>
      <c r="T54" s="261"/>
      <c r="U54" s="261"/>
      <c r="V54" s="261"/>
      <c r="W54" s="261"/>
      <c r="X54" s="261"/>
      <c r="Y54" s="261"/>
      <c r="Z54" s="261"/>
      <c r="AA54" s="261"/>
      <c r="AB54" s="261"/>
      <c r="AC54" s="261"/>
      <c r="AD54" s="261"/>
      <c r="AE54" s="261"/>
      <c r="AF54" s="261"/>
      <c r="AG54" s="261"/>
      <c r="AH54" s="261"/>
      <c r="AI54" s="261"/>
      <c r="AJ54" s="261"/>
      <c r="AK54" s="261"/>
      <c r="AL54" s="261"/>
    </row>
    <row r="55" spans="6:38" s="46" customFormat="1" ht="15" customHeight="1">
      <c r="F55" s="28"/>
      <c r="G55" s="28"/>
      <c r="H55" s="261"/>
      <c r="I55" s="261"/>
      <c r="J55" s="261"/>
      <c r="K55" s="261"/>
      <c r="L55" s="261"/>
      <c r="M55" s="261"/>
      <c r="N55" s="261"/>
      <c r="O55" s="261"/>
      <c r="P55" s="261"/>
      <c r="Q55" s="261"/>
      <c r="R55" s="261"/>
      <c r="S55" s="261"/>
      <c r="T55" s="261"/>
      <c r="U55" s="261"/>
      <c r="V55" s="261"/>
      <c r="W55" s="261"/>
      <c r="X55" s="261"/>
      <c r="Y55" s="261"/>
      <c r="Z55" s="261"/>
      <c r="AA55" s="261"/>
      <c r="AB55" s="261"/>
      <c r="AC55" s="261"/>
      <c r="AD55" s="261"/>
      <c r="AE55" s="261"/>
      <c r="AF55" s="261"/>
      <c r="AG55" s="261"/>
      <c r="AH55" s="261"/>
      <c r="AI55" s="261"/>
      <c r="AJ55" s="261"/>
      <c r="AK55" s="261"/>
      <c r="AL55" s="261"/>
    </row>
    <row r="56" spans="6:38" s="46" customFormat="1" ht="15" customHeight="1">
      <c r="F56" s="28"/>
      <c r="G56" s="28"/>
      <c r="H56" s="261"/>
      <c r="I56" s="261"/>
      <c r="J56" s="261"/>
      <c r="K56" s="261"/>
      <c r="L56" s="261"/>
      <c r="M56" s="261"/>
      <c r="N56" s="261"/>
      <c r="O56" s="261"/>
      <c r="P56" s="261"/>
      <c r="Q56" s="261"/>
      <c r="R56" s="261"/>
      <c r="S56" s="261"/>
      <c r="T56" s="261"/>
      <c r="U56" s="261"/>
      <c r="V56" s="261"/>
      <c r="W56" s="261"/>
      <c r="X56" s="261"/>
      <c r="Y56" s="261"/>
      <c r="Z56" s="261"/>
      <c r="AA56" s="261"/>
      <c r="AB56" s="261"/>
      <c r="AC56" s="261"/>
      <c r="AD56" s="261"/>
      <c r="AE56" s="261"/>
      <c r="AF56" s="261"/>
      <c r="AG56" s="261"/>
      <c r="AH56" s="261"/>
      <c r="AI56" s="261"/>
      <c r="AJ56" s="261"/>
      <c r="AK56" s="261"/>
      <c r="AL56" s="261"/>
    </row>
    <row r="57" spans="6:38" s="46" customFormat="1" ht="15" customHeight="1">
      <c r="F57" s="28"/>
      <c r="G57" s="28"/>
      <c r="H57" s="261"/>
      <c r="I57" s="261"/>
      <c r="J57" s="261"/>
      <c r="K57" s="261"/>
      <c r="L57" s="261"/>
      <c r="M57" s="261"/>
      <c r="N57" s="261"/>
      <c r="O57" s="261"/>
      <c r="P57" s="261"/>
      <c r="Q57" s="261"/>
      <c r="R57" s="261"/>
      <c r="S57" s="261"/>
      <c r="T57" s="261"/>
      <c r="U57" s="261"/>
      <c r="V57" s="261"/>
      <c r="W57" s="261"/>
      <c r="X57" s="261"/>
      <c r="Y57" s="261"/>
      <c r="Z57" s="261"/>
      <c r="AA57" s="261"/>
      <c r="AB57" s="261"/>
      <c r="AC57" s="261"/>
      <c r="AD57" s="261"/>
      <c r="AE57" s="261"/>
      <c r="AF57" s="261"/>
      <c r="AG57" s="261"/>
      <c r="AH57" s="261"/>
      <c r="AI57" s="261"/>
      <c r="AJ57" s="261"/>
      <c r="AK57" s="261"/>
      <c r="AL57" s="261"/>
    </row>
    <row r="58" spans="6:38" s="46" customFormat="1" ht="15" customHeight="1">
      <c r="F58" s="28"/>
      <c r="G58" s="28"/>
      <c r="H58" s="261"/>
      <c r="I58" s="261"/>
      <c r="J58" s="261"/>
      <c r="K58" s="261"/>
      <c r="L58" s="261"/>
      <c r="M58" s="261"/>
      <c r="N58" s="261"/>
      <c r="O58" s="261"/>
      <c r="P58" s="261"/>
      <c r="Q58" s="261"/>
      <c r="R58" s="261"/>
      <c r="S58" s="261"/>
      <c r="T58" s="261"/>
      <c r="U58" s="261"/>
      <c r="V58" s="261"/>
      <c r="W58" s="261"/>
      <c r="X58" s="261"/>
      <c r="Y58" s="261"/>
      <c r="Z58" s="261"/>
      <c r="AA58" s="261"/>
      <c r="AB58" s="261"/>
      <c r="AC58" s="261"/>
      <c r="AD58" s="261"/>
      <c r="AE58" s="261"/>
      <c r="AF58" s="261"/>
      <c r="AG58" s="261"/>
      <c r="AH58" s="261"/>
      <c r="AI58" s="261"/>
      <c r="AJ58" s="261"/>
      <c r="AK58" s="261"/>
      <c r="AL58" s="261"/>
    </row>
    <row r="59" spans="6:38" s="46" customFormat="1" ht="15" customHeight="1">
      <c r="F59" s="28"/>
      <c r="G59" s="28"/>
      <c r="H59" s="261"/>
      <c r="I59" s="261"/>
      <c r="J59" s="261"/>
      <c r="K59" s="261"/>
      <c r="L59" s="261"/>
      <c r="M59" s="261"/>
      <c r="N59" s="261"/>
      <c r="O59" s="261"/>
      <c r="P59" s="261"/>
      <c r="Q59" s="261"/>
      <c r="R59" s="261"/>
      <c r="S59" s="261"/>
      <c r="T59" s="261"/>
      <c r="U59" s="261"/>
      <c r="V59" s="261"/>
      <c r="W59" s="261"/>
      <c r="X59" s="261"/>
      <c r="Y59" s="261"/>
      <c r="Z59" s="261"/>
      <c r="AA59" s="261"/>
      <c r="AB59" s="261"/>
      <c r="AC59" s="261"/>
      <c r="AD59" s="261"/>
      <c r="AE59" s="261"/>
      <c r="AF59" s="261"/>
      <c r="AG59" s="261"/>
      <c r="AH59" s="261"/>
      <c r="AI59" s="261"/>
      <c r="AJ59" s="261"/>
      <c r="AK59" s="261"/>
      <c r="AL59" s="261"/>
    </row>
    <row r="60" spans="6:38" s="46" customFormat="1" ht="15" customHeight="1">
      <c r="F60" s="28"/>
      <c r="G60" s="28"/>
      <c r="H60" s="261"/>
      <c r="I60" s="261"/>
      <c r="J60" s="261"/>
      <c r="K60" s="261"/>
      <c r="L60" s="261"/>
      <c r="M60" s="261"/>
      <c r="N60" s="261"/>
      <c r="O60" s="261"/>
      <c r="P60" s="261"/>
      <c r="Q60" s="261"/>
      <c r="R60" s="261"/>
      <c r="S60" s="261"/>
      <c r="T60" s="261"/>
      <c r="U60" s="261"/>
      <c r="V60" s="261"/>
      <c r="W60" s="261"/>
      <c r="X60" s="261"/>
      <c r="Y60" s="261"/>
      <c r="Z60" s="261"/>
      <c r="AA60" s="261"/>
      <c r="AB60" s="261"/>
      <c r="AC60" s="261"/>
      <c r="AD60" s="261"/>
      <c r="AE60" s="261"/>
      <c r="AF60" s="261"/>
      <c r="AG60" s="261"/>
      <c r="AH60" s="261"/>
      <c r="AI60" s="261"/>
      <c r="AJ60" s="261"/>
      <c r="AK60" s="261"/>
      <c r="AL60" s="261"/>
    </row>
    <row r="61" spans="6:38" s="46" customFormat="1" ht="15" customHeight="1">
      <c r="F61" s="28"/>
      <c r="G61" s="28"/>
      <c r="H61" s="261"/>
      <c r="I61" s="261"/>
      <c r="J61" s="261"/>
      <c r="K61" s="261"/>
      <c r="L61" s="261"/>
      <c r="M61" s="261"/>
      <c r="N61" s="261"/>
      <c r="O61" s="261"/>
      <c r="P61" s="261"/>
      <c r="Q61" s="261"/>
      <c r="R61" s="261"/>
      <c r="S61" s="261"/>
      <c r="T61" s="261"/>
      <c r="U61" s="261"/>
      <c r="V61" s="261"/>
      <c r="W61" s="261"/>
      <c r="X61" s="261"/>
      <c r="Y61" s="261"/>
      <c r="Z61" s="261"/>
      <c r="AA61" s="261"/>
      <c r="AB61" s="261"/>
      <c r="AC61" s="261"/>
      <c r="AD61" s="261"/>
      <c r="AE61" s="261"/>
      <c r="AF61" s="261"/>
      <c r="AG61" s="261"/>
      <c r="AH61" s="261"/>
      <c r="AI61" s="261"/>
      <c r="AJ61" s="261"/>
      <c r="AK61" s="261"/>
      <c r="AL61" s="261"/>
    </row>
    <row r="62" spans="6:38" s="46" customFormat="1" ht="15" customHeight="1">
      <c r="F62" s="28"/>
      <c r="G62" s="28"/>
      <c r="H62" s="261"/>
      <c r="I62" s="261"/>
      <c r="J62" s="261"/>
      <c r="K62" s="261"/>
      <c r="L62" s="261"/>
      <c r="M62" s="261"/>
      <c r="N62" s="261"/>
      <c r="O62" s="261"/>
      <c r="P62" s="261"/>
      <c r="Q62" s="261"/>
      <c r="R62" s="261"/>
      <c r="S62" s="261"/>
      <c r="T62" s="261"/>
      <c r="U62" s="261"/>
      <c r="V62" s="261"/>
      <c r="W62" s="261"/>
      <c r="X62" s="261"/>
      <c r="Y62" s="261"/>
      <c r="Z62" s="261"/>
      <c r="AA62" s="261"/>
      <c r="AB62" s="261"/>
      <c r="AC62" s="261"/>
      <c r="AD62" s="261"/>
      <c r="AE62" s="261"/>
      <c r="AF62" s="261"/>
      <c r="AG62" s="261"/>
      <c r="AH62" s="261"/>
      <c r="AI62" s="261"/>
      <c r="AJ62" s="261"/>
      <c r="AK62" s="261"/>
      <c r="AL62" s="261"/>
    </row>
    <row r="63" spans="6:38" s="46" customFormat="1" ht="15" customHeight="1">
      <c r="F63" s="28"/>
      <c r="G63" s="28"/>
      <c r="H63" s="261"/>
      <c r="I63" s="261"/>
      <c r="J63" s="261"/>
      <c r="K63" s="261"/>
      <c r="L63" s="261"/>
      <c r="M63" s="261"/>
      <c r="N63" s="261"/>
      <c r="O63" s="261"/>
      <c r="P63" s="261"/>
      <c r="Q63" s="261"/>
      <c r="R63" s="261"/>
      <c r="S63" s="261"/>
      <c r="T63" s="261"/>
      <c r="U63" s="261"/>
      <c r="V63" s="261"/>
      <c r="W63" s="261"/>
      <c r="X63" s="261"/>
      <c r="Y63" s="261"/>
      <c r="Z63" s="261"/>
      <c r="AA63" s="261"/>
      <c r="AB63" s="261"/>
      <c r="AC63" s="261"/>
      <c r="AD63" s="261"/>
      <c r="AE63" s="261"/>
      <c r="AF63" s="261"/>
      <c r="AG63" s="261"/>
      <c r="AH63" s="261"/>
      <c r="AI63" s="261"/>
      <c r="AJ63" s="261"/>
      <c r="AK63" s="261"/>
      <c r="AL63" s="261"/>
    </row>
    <row r="64" spans="6:38" s="46" customFormat="1" ht="15" customHeight="1">
      <c r="F64" s="28"/>
      <c r="G64" s="28"/>
      <c r="H64" s="261"/>
      <c r="I64" s="261"/>
      <c r="J64" s="261"/>
      <c r="K64" s="261"/>
      <c r="L64" s="261"/>
      <c r="M64" s="261"/>
      <c r="N64" s="261"/>
      <c r="O64" s="261"/>
      <c r="P64" s="261"/>
      <c r="Q64" s="261"/>
      <c r="R64" s="261"/>
      <c r="S64" s="261"/>
      <c r="T64" s="261"/>
      <c r="U64" s="261"/>
      <c r="V64" s="261"/>
      <c r="W64" s="261"/>
      <c r="X64" s="261"/>
      <c r="Y64" s="261"/>
      <c r="Z64" s="261"/>
      <c r="AA64" s="261"/>
      <c r="AB64" s="261"/>
      <c r="AC64" s="261"/>
      <c r="AD64" s="261"/>
      <c r="AE64" s="261"/>
      <c r="AF64" s="261"/>
      <c r="AG64" s="261"/>
      <c r="AH64" s="261"/>
      <c r="AI64" s="261"/>
      <c r="AJ64" s="261"/>
      <c r="AK64" s="261"/>
      <c r="AL64" s="261"/>
    </row>
    <row r="65" spans="6:38" s="46" customFormat="1" ht="15" customHeight="1">
      <c r="F65" s="28"/>
      <c r="G65" s="28"/>
      <c r="H65" s="261"/>
      <c r="I65" s="261"/>
      <c r="J65" s="261"/>
      <c r="K65" s="261"/>
      <c r="L65" s="261"/>
      <c r="M65" s="261"/>
      <c r="N65" s="261"/>
      <c r="O65" s="261"/>
      <c r="P65" s="261"/>
      <c r="Q65" s="261"/>
      <c r="R65" s="261"/>
      <c r="S65" s="261"/>
      <c r="T65" s="261"/>
      <c r="U65" s="261"/>
      <c r="V65" s="261"/>
      <c r="W65" s="261"/>
      <c r="X65" s="261"/>
      <c r="Y65" s="261"/>
      <c r="Z65" s="261"/>
      <c r="AA65" s="261"/>
      <c r="AB65" s="261"/>
      <c r="AC65" s="261"/>
      <c r="AD65" s="261"/>
      <c r="AE65" s="261"/>
      <c r="AF65" s="261"/>
      <c r="AG65" s="261"/>
      <c r="AH65" s="261"/>
      <c r="AI65" s="261"/>
      <c r="AJ65" s="261"/>
      <c r="AK65" s="261"/>
      <c r="AL65" s="261"/>
    </row>
    <row r="66" spans="6:38" s="46" customFormat="1" ht="15" customHeight="1">
      <c r="F66" s="28"/>
      <c r="G66" s="28"/>
      <c r="H66" s="261"/>
      <c r="I66" s="261"/>
      <c r="J66" s="261"/>
      <c r="K66" s="261"/>
      <c r="L66" s="261"/>
      <c r="M66" s="261"/>
      <c r="N66" s="261"/>
      <c r="O66" s="261"/>
      <c r="P66" s="261"/>
      <c r="Q66" s="261"/>
      <c r="R66" s="261"/>
      <c r="S66" s="261"/>
      <c r="T66" s="261"/>
      <c r="U66" s="261"/>
      <c r="V66" s="261"/>
      <c r="W66" s="261"/>
      <c r="X66" s="261"/>
      <c r="Y66" s="261"/>
      <c r="Z66" s="261"/>
      <c r="AA66" s="261"/>
      <c r="AB66" s="261"/>
      <c r="AC66" s="261"/>
      <c r="AD66" s="261"/>
      <c r="AE66" s="261"/>
      <c r="AF66" s="261"/>
      <c r="AG66" s="261"/>
      <c r="AH66" s="261"/>
      <c r="AI66" s="261"/>
      <c r="AJ66" s="261"/>
      <c r="AK66" s="261"/>
      <c r="AL66" s="261"/>
    </row>
    <row r="67" spans="6:38" s="46" customFormat="1" ht="15" customHeight="1">
      <c r="F67" s="28"/>
      <c r="G67" s="28"/>
      <c r="H67" s="261"/>
      <c r="I67" s="261"/>
      <c r="J67" s="261"/>
      <c r="K67" s="261"/>
      <c r="L67" s="261"/>
      <c r="M67" s="261"/>
      <c r="N67" s="261"/>
      <c r="O67" s="261"/>
      <c r="P67" s="261"/>
      <c r="Q67" s="261"/>
      <c r="R67" s="261"/>
      <c r="S67" s="261"/>
      <c r="T67" s="261"/>
      <c r="U67" s="261"/>
      <c r="V67" s="261"/>
      <c r="W67" s="261"/>
      <c r="X67" s="261"/>
      <c r="Y67" s="261"/>
      <c r="Z67" s="261"/>
      <c r="AA67" s="261"/>
      <c r="AB67" s="261"/>
      <c r="AC67" s="261"/>
      <c r="AD67" s="261"/>
      <c r="AE67" s="261"/>
      <c r="AF67" s="261"/>
      <c r="AG67" s="261"/>
      <c r="AH67" s="261"/>
      <c r="AI67" s="261"/>
      <c r="AJ67" s="261"/>
      <c r="AK67" s="261"/>
      <c r="AL67" s="261"/>
    </row>
    <row r="68" spans="6:38" s="46" customFormat="1" ht="15" customHeight="1">
      <c r="F68" s="28"/>
      <c r="G68" s="28"/>
      <c r="H68" s="261"/>
      <c r="I68" s="261"/>
      <c r="J68" s="261"/>
      <c r="K68" s="261"/>
      <c r="L68" s="261"/>
      <c r="M68" s="261"/>
      <c r="N68" s="261"/>
      <c r="O68" s="261"/>
      <c r="P68" s="261"/>
      <c r="Q68" s="261"/>
      <c r="R68" s="261"/>
      <c r="S68" s="261"/>
      <c r="T68" s="261"/>
      <c r="U68" s="261"/>
      <c r="V68" s="261"/>
      <c r="W68" s="261"/>
      <c r="X68" s="261"/>
      <c r="Y68" s="261"/>
      <c r="Z68" s="261"/>
      <c r="AA68" s="261"/>
      <c r="AB68" s="261"/>
      <c r="AC68" s="261"/>
      <c r="AD68" s="261"/>
      <c r="AE68" s="261"/>
      <c r="AF68" s="261"/>
      <c r="AG68" s="261"/>
      <c r="AH68" s="261"/>
      <c r="AI68" s="261"/>
      <c r="AJ68" s="261"/>
      <c r="AK68" s="261"/>
      <c r="AL68" s="261"/>
    </row>
    <row r="69" spans="6:38" s="46" customFormat="1" ht="15" customHeight="1">
      <c r="F69" s="28"/>
      <c r="G69" s="28"/>
      <c r="H69" s="261"/>
      <c r="I69" s="261"/>
      <c r="J69" s="261"/>
      <c r="K69" s="261"/>
      <c r="L69" s="261"/>
      <c r="M69" s="261"/>
      <c r="N69" s="261"/>
      <c r="O69" s="261"/>
      <c r="P69" s="261"/>
      <c r="Q69" s="261"/>
      <c r="R69" s="261"/>
      <c r="S69" s="261"/>
      <c r="T69" s="261"/>
      <c r="U69" s="261"/>
      <c r="V69" s="261"/>
      <c r="W69" s="261"/>
      <c r="X69" s="261"/>
      <c r="Y69" s="261"/>
      <c r="Z69" s="261"/>
      <c r="AA69" s="261"/>
      <c r="AB69" s="261"/>
      <c r="AC69" s="261"/>
      <c r="AD69" s="261"/>
      <c r="AE69" s="261"/>
      <c r="AF69" s="261"/>
      <c r="AG69" s="261"/>
      <c r="AH69" s="261"/>
      <c r="AI69" s="261"/>
      <c r="AJ69" s="261"/>
      <c r="AK69" s="261"/>
      <c r="AL69" s="261"/>
    </row>
    <row r="70" spans="6:38" s="46" customFormat="1" ht="15" customHeight="1">
      <c r="F70" s="28"/>
      <c r="G70" s="28"/>
      <c r="H70" s="261"/>
      <c r="I70" s="261"/>
      <c r="J70" s="261"/>
      <c r="K70" s="261"/>
      <c r="L70" s="261"/>
      <c r="M70" s="261"/>
      <c r="N70" s="261"/>
      <c r="O70" s="261"/>
      <c r="P70" s="261"/>
      <c r="Q70" s="261"/>
      <c r="R70" s="261"/>
      <c r="S70" s="261"/>
      <c r="T70" s="261"/>
      <c r="U70" s="261"/>
      <c r="V70" s="261"/>
      <c r="W70" s="261"/>
      <c r="X70" s="261"/>
      <c r="Y70" s="261"/>
      <c r="Z70" s="261"/>
      <c r="AA70" s="261"/>
      <c r="AB70" s="261"/>
      <c r="AC70" s="261"/>
      <c r="AD70" s="261"/>
      <c r="AE70" s="261"/>
      <c r="AF70" s="261"/>
      <c r="AG70" s="261"/>
      <c r="AH70" s="261"/>
      <c r="AI70" s="261"/>
      <c r="AJ70" s="261"/>
      <c r="AK70" s="261"/>
      <c r="AL70" s="261"/>
    </row>
    <row r="71" spans="6:38" s="46" customFormat="1" ht="15" customHeight="1">
      <c r="F71" s="28"/>
      <c r="G71" s="28"/>
      <c r="H71" s="261"/>
      <c r="I71" s="261"/>
      <c r="J71" s="261"/>
      <c r="K71" s="261"/>
      <c r="L71" s="261"/>
      <c r="M71" s="261"/>
      <c r="N71" s="261"/>
      <c r="O71" s="261"/>
      <c r="P71" s="261"/>
      <c r="Q71" s="261"/>
      <c r="R71" s="261"/>
      <c r="S71" s="261"/>
      <c r="T71" s="261"/>
      <c r="U71" s="261"/>
      <c r="V71" s="261"/>
      <c r="W71" s="261"/>
      <c r="X71" s="261"/>
      <c r="Y71" s="261"/>
      <c r="Z71" s="261"/>
      <c r="AA71" s="261"/>
      <c r="AB71" s="261"/>
      <c r="AC71" s="261"/>
      <c r="AD71" s="261"/>
      <c r="AE71" s="261"/>
      <c r="AF71" s="261"/>
      <c r="AG71" s="261"/>
      <c r="AH71" s="261"/>
      <c r="AI71" s="261"/>
      <c r="AJ71" s="261"/>
      <c r="AK71" s="261"/>
      <c r="AL71" s="261"/>
    </row>
    <row r="72" spans="6:38" s="46" customFormat="1" ht="15" customHeight="1">
      <c r="F72" s="28"/>
      <c r="G72" s="28"/>
      <c r="H72" s="261"/>
      <c r="I72" s="261"/>
      <c r="J72" s="261"/>
      <c r="K72" s="261"/>
      <c r="L72" s="261"/>
      <c r="M72" s="261"/>
      <c r="N72" s="261"/>
      <c r="O72" s="261"/>
      <c r="P72" s="261"/>
      <c r="Q72" s="261"/>
      <c r="R72" s="261"/>
      <c r="S72" s="261"/>
      <c r="T72" s="261"/>
      <c r="U72" s="261"/>
      <c r="V72" s="261"/>
      <c r="W72" s="261"/>
      <c r="X72" s="261"/>
      <c r="Y72" s="261"/>
      <c r="Z72" s="261"/>
      <c r="AA72" s="261"/>
      <c r="AB72" s="261"/>
      <c r="AC72" s="261"/>
      <c r="AD72" s="261"/>
      <c r="AE72" s="261"/>
      <c r="AF72" s="261"/>
      <c r="AG72" s="261"/>
      <c r="AH72" s="261"/>
      <c r="AI72" s="261"/>
      <c r="AJ72" s="261"/>
      <c r="AK72" s="261"/>
      <c r="AL72" s="261"/>
    </row>
    <row r="73" spans="6:38" s="46" customFormat="1" ht="15" customHeight="1">
      <c r="F73" s="28"/>
      <c r="G73" s="28"/>
      <c r="H73" s="261"/>
      <c r="I73" s="261"/>
      <c r="J73" s="261"/>
      <c r="K73" s="261"/>
      <c r="L73" s="261"/>
      <c r="M73" s="261"/>
      <c r="N73" s="261"/>
      <c r="O73" s="261"/>
      <c r="P73" s="261"/>
      <c r="Q73" s="261"/>
      <c r="R73" s="261"/>
      <c r="S73" s="261"/>
      <c r="T73" s="261"/>
      <c r="U73" s="261"/>
      <c r="V73" s="261"/>
      <c r="W73" s="261"/>
      <c r="X73" s="261"/>
      <c r="Y73" s="261"/>
      <c r="Z73" s="261"/>
      <c r="AA73" s="261"/>
      <c r="AB73" s="261"/>
      <c r="AC73" s="261"/>
      <c r="AD73" s="261"/>
      <c r="AE73" s="261"/>
      <c r="AF73" s="261"/>
      <c r="AG73" s="261"/>
      <c r="AH73" s="261"/>
      <c r="AI73" s="261"/>
      <c r="AJ73" s="261"/>
      <c r="AK73" s="261"/>
      <c r="AL73" s="261"/>
    </row>
    <row r="74" spans="6:38" s="46" customFormat="1" ht="15" customHeight="1">
      <c r="F74" s="28"/>
      <c r="G74" s="28"/>
      <c r="H74" s="261"/>
      <c r="I74" s="261"/>
      <c r="J74" s="261"/>
      <c r="K74" s="261"/>
      <c r="L74" s="261"/>
      <c r="M74" s="261"/>
      <c r="N74" s="261"/>
      <c r="O74" s="261"/>
      <c r="P74" s="261"/>
      <c r="Q74" s="261"/>
      <c r="R74" s="261"/>
      <c r="S74" s="261"/>
      <c r="T74" s="261"/>
      <c r="U74" s="261"/>
      <c r="V74" s="261"/>
      <c r="W74" s="261"/>
      <c r="X74" s="261"/>
      <c r="Y74" s="261"/>
      <c r="Z74" s="261"/>
      <c r="AA74" s="261"/>
      <c r="AB74" s="261"/>
      <c r="AC74" s="261"/>
      <c r="AD74" s="261"/>
      <c r="AE74" s="261"/>
      <c r="AF74" s="261"/>
      <c r="AG74" s="261"/>
      <c r="AH74" s="261"/>
      <c r="AI74" s="261"/>
      <c r="AJ74" s="261"/>
      <c r="AK74" s="261"/>
      <c r="AL74" s="261"/>
    </row>
    <row r="75" spans="6:38" s="46" customFormat="1" ht="15" customHeight="1">
      <c r="F75" s="28"/>
      <c r="G75" s="28"/>
      <c r="H75" s="261"/>
      <c r="I75" s="261"/>
      <c r="J75" s="261"/>
      <c r="K75" s="261"/>
      <c r="L75" s="261"/>
      <c r="M75" s="261"/>
      <c r="N75" s="261"/>
      <c r="O75" s="261"/>
      <c r="P75" s="261"/>
      <c r="Q75" s="261"/>
      <c r="R75" s="261"/>
      <c r="S75" s="261"/>
      <c r="T75" s="261"/>
      <c r="U75" s="261"/>
      <c r="V75" s="261"/>
      <c r="W75" s="261"/>
      <c r="X75" s="261"/>
      <c r="Y75" s="261"/>
      <c r="Z75" s="261"/>
      <c r="AA75" s="261"/>
      <c r="AB75" s="261"/>
      <c r="AC75" s="261"/>
      <c r="AD75" s="261"/>
      <c r="AE75" s="261"/>
      <c r="AF75" s="261"/>
      <c r="AG75" s="261"/>
      <c r="AH75" s="261"/>
      <c r="AI75" s="261"/>
      <c r="AJ75" s="261"/>
      <c r="AK75" s="261"/>
      <c r="AL75" s="261"/>
    </row>
    <row r="76" spans="6:38" s="46" customFormat="1" ht="15" customHeight="1">
      <c r="F76" s="28"/>
      <c r="G76" s="28"/>
      <c r="H76" s="261"/>
      <c r="I76" s="261"/>
      <c r="J76" s="261"/>
      <c r="K76" s="261"/>
      <c r="L76" s="261"/>
      <c r="M76" s="261"/>
      <c r="N76" s="261"/>
      <c r="O76" s="261"/>
      <c r="P76" s="261"/>
      <c r="Q76" s="261"/>
      <c r="R76" s="261"/>
      <c r="S76" s="261"/>
      <c r="T76" s="261"/>
      <c r="U76" s="261"/>
      <c r="V76" s="261"/>
      <c r="W76" s="261"/>
      <c r="X76" s="261"/>
      <c r="Y76" s="261"/>
      <c r="Z76" s="261"/>
      <c r="AA76" s="261"/>
      <c r="AB76" s="261"/>
      <c r="AC76" s="261"/>
      <c r="AD76" s="261"/>
      <c r="AE76" s="261"/>
      <c r="AF76" s="261"/>
      <c r="AG76" s="261"/>
      <c r="AH76" s="261"/>
      <c r="AI76" s="261"/>
      <c r="AJ76" s="261"/>
      <c r="AK76" s="261"/>
      <c r="AL76" s="261"/>
    </row>
    <row r="77" spans="6:38" s="46" customFormat="1" ht="15" customHeight="1">
      <c r="F77" s="28"/>
      <c r="G77" s="28"/>
      <c r="H77" s="261"/>
      <c r="I77" s="261"/>
      <c r="J77" s="261"/>
      <c r="K77" s="261"/>
      <c r="L77" s="261"/>
      <c r="M77" s="261"/>
      <c r="N77" s="261"/>
      <c r="O77" s="261"/>
      <c r="P77" s="261"/>
      <c r="Q77" s="261"/>
      <c r="R77" s="261"/>
      <c r="S77" s="261"/>
      <c r="T77" s="261"/>
      <c r="U77" s="261"/>
      <c r="V77" s="261"/>
      <c r="W77" s="261"/>
      <c r="X77" s="261"/>
      <c r="Y77" s="261"/>
      <c r="Z77" s="261"/>
      <c r="AA77" s="261"/>
      <c r="AB77" s="261"/>
      <c r="AC77" s="261"/>
      <c r="AD77" s="261"/>
      <c r="AE77" s="261"/>
      <c r="AF77" s="261"/>
      <c r="AG77" s="261"/>
      <c r="AH77" s="261"/>
      <c r="AI77" s="261"/>
      <c r="AJ77" s="261"/>
      <c r="AK77" s="261"/>
      <c r="AL77" s="261"/>
    </row>
    <row r="78" spans="6:38" s="46" customFormat="1" ht="15" customHeight="1">
      <c r="F78" s="28"/>
      <c r="G78" s="28"/>
      <c r="H78" s="261"/>
      <c r="I78" s="261"/>
      <c r="J78" s="261"/>
      <c r="K78" s="261"/>
      <c r="L78" s="261"/>
      <c r="M78" s="261"/>
      <c r="N78" s="261"/>
      <c r="O78" s="261"/>
      <c r="P78" s="261"/>
      <c r="Q78" s="261"/>
      <c r="R78" s="261"/>
      <c r="S78" s="261"/>
      <c r="T78" s="261"/>
      <c r="U78" s="261"/>
      <c r="V78" s="261"/>
      <c r="W78" s="261"/>
      <c r="X78" s="261"/>
      <c r="Y78" s="261"/>
      <c r="Z78" s="261"/>
      <c r="AA78" s="261"/>
      <c r="AB78" s="261"/>
      <c r="AC78" s="261"/>
      <c r="AD78" s="261"/>
      <c r="AE78" s="261"/>
      <c r="AF78" s="261"/>
      <c r="AG78" s="261"/>
      <c r="AH78" s="261"/>
      <c r="AI78" s="261"/>
      <c r="AJ78" s="261"/>
      <c r="AK78" s="261"/>
      <c r="AL78" s="261"/>
    </row>
    <row r="79" spans="6:38" s="46" customFormat="1" ht="15" customHeight="1">
      <c r="F79" s="28"/>
      <c r="G79" s="28"/>
      <c r="H79" s="261"/>
      <c r="I79" s="261"/>
      <c r="J79" s="261"/>
      <c r="K79" s="261"/>
      <c r="L79" s="261"/>
      <c r="M79" s="261"/>
      <c r="N79" s="261"/>
      <c r="O79" s="261"/>
      <c r="P79" s="261"/>
      <c r="Q79" s="261"/>
      <c r="R79" s="261"/>
      <c r="S79" s="261"/>
      <c r="T79" s="261"/>
      <c r="U79" s="261"/>
      <c r="V79" s="261"/>
      <c r="W79" s="261"/>
      <c r="X79" s="261"/>
      <c r="Y79" s="261"/>
      <c r="Z79" s="261"/>
      <c r="AA79" s="261"/>
      <c r="AB79" s="261"/>
      <c r="AC79" s="261"/>
      <c r="AD79" s="261"/>
      <c r="AE79" s="261"/>
      <c r="AF79" s="261"/>
      <c r="AG79" s="261"/>
      <c r="AH79" s="261"/>
      <c r="AI79" s="261"/>
      <c r="AJ79" s="261"/>
      <c r="AK79" s="261"/>
      <c r="AL79" s="261"/>
    </row>
  </sheetData>
  <sheetProtection/>
  <printOptions horizontalCentered="1"/>
  <pageMargins left="0.25" right="0.25" top="0.5" bottom="0.5" header="0.25" footer="0.25"/>
  <pageSetup horizontalDpi="300" verticalDpi="300" orientation="landscape" scale="80" r:id="rId1"/>
  <headerFooter alignWithMargins="0">
    <oddFooter>&amp;CPage 12
</oddFooter>
  </headerFooter>
</worksheet>
</file>

<file path=xl/worksheets/sheet2.xml><?xml version="1.0" encoding="utf-8"?>
<worksheet xmlns="http://schemas.openxmlformats.org/spreadsheetml/2006/main" xmlns:r="http://schemas.openxmlformats.org/officeDocument/2006/relationships">
  <dimension ref="A1:G44"/>
  <sheetViews>
    <sheetView zoomScalePageLayoutView="0" workbookViewId="0" topLeftCell="A1">
      <selection activeCell="A1" sqref="A1:E1"/>
    </sheetView>
  </sheetViews>
  <sheetFormatPr defaultColWidth="15.7109375" defaultRowHeight="15" customHeight="1"/>
  <cols>
    <col min="1" max="1" width="45.7109375" style="46" customWidth="1"/>
    <col min="2" max="2" width="15.7109375" style="47" customWidth="1"/>
    <col min="3" max="3" width="19.140625" style="47" customWidth="1"/>
    <col min="4" max="4" width="15.7109375" style="46" customWidth="1"/>
    <col min="5" max="5" width="19.140625" style="46" customWidth="1"/>
    <col min="6" max="16384" width="15.7109375" style="46" customWidth="1"/>
  </cols>
  <sheetData>
    <row r="1" spans="1:5" s="74" customFormat="1" ht="30" customHeight="1">
      <c r="A1" s="294" t="s">
        <v>38</v>
      </c>
      <c r="B1" s="294"/>
      <c r="C1" s="294"/>
      <c r="D1" s="294"/>
      <c r="E1" s="294"/>
    </row>
    <row r="2" spans="1:3" s="73" customFormat="1" ht="15" customHeight="1">
      <c r="A2" s="297"/>
      <c r="B2" s="297"/>
      <c r="C2" s="297"/>
    </row>
    <row r="3" spans="1:5" s="70" customFormat="1" ht="15" customHeight="1">
      <c r="A3" s="298" t="s">
        <v>68</v>
      </c>
      <c r="B3" s="298"/>
      <c r="C3" s="298"/>
      <c r="D3" s="298"/>
      <c r="E3" s="298"/>
    </row>
    <row r="4" spans="1:5" s="70" customFormat="1" ht="15" customHeight="1">
      <c r="A4" s="299" t="s">
        <v>67</v>
      </c>
      <c r="B4" s="298"/>
      <c r="C4" s="298"/>
      <c r="D4" s="298"/>
      <c r="E4" s="298"/>
    </row>
    <row r="5" spans="1:3" s="70" customFormat="1" ht="15" customHeight="1">
      <c r="A5" s="72"/>
      <c r="B5" s="71"/>
      <c r="C5" s="71"/>
    </row>
    <row r="6" spans="1:5" ht="15" customHeight="1">
      <c r="A6" s="53"/>
      <c r="B6" s="319" t="s">
        <v>66</v>
      </c>
      <c r="C6" s="320"/>
      <c r="D6" s="319" t="s">
        <v>65</v>
      </c>
      <c r="E6" s="320"/>
    </row>
    <row r="7" spans="1:5" ht="15" customHeight="1">
      <c r="A7" s="53"/>
      <c r="B7" s="68"/>
      <c r="C7" s="69"/>
      <c r="D7" s="68"/>
      <c r="E7" s="69"/>
    </row>
    <row r="8" spans="1:5" ht="15" customHeight="1">
      <c r="A8" s="60" t="s">
        <v>64</v>
      </c>
      <c r="B8" s="68"/>
      <c r="C8" s="67"/>
      <c r="D8" s="68"/>
      <c r="E8" s="67"/>
    </row>
    <row r="9" spans="1:5" ht="15" customHeight="1">
      <c r="A9" s="60"/>
      <c r="B9" s="68"/>
      <c r="C9" s="67"/>
      <c r="D9" s="68"/>
      <c r="E9" s="67"/>
    </row>
    <row r="10" spans="1:5" ht="15" customHeight="1">
      <c r="A10" s="53" t="s">
        <v>63</v>
      </c>
      <c r="B10" s="50"/>
      <c r="C10" s="66">
        <f>'Earned Incurred QTD-5'!D16</f>
        <v>2788937.5199999996</v>
      </c>
      <c r="D10" s="50"/>
      <c r="E10" s="66">
        <f>'Earned Incurred YTD-6'!D16</f>
        <v>5594905.85</v>
      </c>
    </row>
    <row r="11" spans="1:5" ht="15" customHeight="1">
      <c r="A11" s="60"/>
      <c r="B11" s="50"/>
      <c r="C11" s="64"/>
      <c r="D11" s="50"/>
      <c r="E11" s="64"/>
    </row>
    <row r="12" spans="1:5" ht="15" customHeight="1">
      <c r="A12" s="60" t="s">
        <v>62</v>
      </c>
      <c r="B12" s="50"/>
      <c r="C12" s="64"/>
      <c r="D12" s="50"/>
      <c r="E12" s="64"/>
    </row>
    <row r="13" spans="1:5" ht="15" customHeight="1">
      <c r="A13" s="53" t="s">
        <v>61</v>
      </c>
      <c r="B13" s="47">
        <f>'Earned Incurred QTD-5'!D23</f>
        <v>1704700.39</v>
      </c>
      <c r="C13" s="64"/>
      <c r="D13" s="47">
        <f>'Earned Incurred YTD-6'!D23</f>
        <v>2729547.7199999997</v>
      </c>
      <c r="E13" s="64"/>
    </row>
    <row r="14" spans="1:5" ht="15" customHeight="1">
      <c r="A14" s="53" t="s">
        <v>60</v>
      </c>
      <c r="B14" s="47">
        <f>'Earned Incurred QTD-5'!D30</f>
        <v>193340.60000000003</v>
      </c>
      <c r="C14" s="64"/>
      <c r="D14" s="47">
        <f>'Earned Incurred YTD-6'!D30</f>
        <v>587960.7700000001</v>
      </c>
      <c r="E14" s="64"/>
    </row>
    <row r="15" spans="1:5" ht="15" customHeight="1">
      <c r="A15" s="53" t="s">
        <v>59</v>
      </c>
      <c r="B15" s="47">
        <f>'Earned Incurred QTD-5'!C37</f>
        <v>253264.8</v>
      </c>
      <c r="C15" s="64"/>
      <c r="D15" s="47">
        <f>'Earned Incurred YTD-6'!C37</f>
        <v>472961.9</v>
      </c>
      <c r="E15" s="64"/>
    </row>
    <row r="16" spans="1:6" ht="15" customHeight="1">
      <c r="A16" s="53" t="s">
        <v>58</v>
      </c>
      <c r="B16" s="47">
        <f>'Earned Incurred QTD-5'!C38+'Earned Incurred QTD-5'!C39+'Earned Incurred QTD-5'!C43-1</f>
        <v>901235.5399999996</v>
      </c>
      <c r="C16" s="64"/>
      <c r="D16" s="47">
        <f>'Earned Incurred YTD-6'!C38+'Earned Incurred YTD-6'!C39+'Earned Incurred YTD-6'!C43+1</f>
        <v>1813121.279999999</v>
      </c>
      <c r="E16" s="64"/>
      <c r="F16" s="54"/>
    </row>
    <row r="17" spans="1:5" ht="15" customHeight="1">
      <c r="A17" s="53" t="s">
        <v>57</v>
      </c>
      <c r="B17" s="65">
        <f>'Earned Incurred QTD-5'!D36</f>
        <v>13211.169999999998</v>
      </c>
      <c r="C17" s="64"/>
      <c r="D17" s="65">
        <f>'Earned Incurred YTD-6'!D36</f>
        <v>27784.32</v>
      </c>
      <c r="E17" s="64"/>
    </row>
    <row r="18" spans="1:5" ht="15" customHeight="1">
      <c r="A18" s="53" t="s">
        <v>56</v>
      </c>
      <c r="B18" s="50"/>
      <c r="C18" s="63">
        <f>SUM(B13:B17)</f>
        <v>3065752.4999999995</v>
      </c>
      <c r="D18" s="50"/>
      <c r="E18" s="63">
        <f>SUM(D13:D17)</f>
        <v>5631375.989999999</v>
      </c>
    </row>
    <row r="19" spans="1:5" ht="15" customHeight="1">
      <c r="A19" s="53"/>
      <c r="B19" s="50"/>
      <c r="C19" s="56"/>
      <c r="D19" s="50"/>
      <c r="E19" s="56"/>
    </row>
    <row r="20" spans="1:5" ht="15" customHeight="1">
      <c r="A20" s="53" t="s">
        <v>55</v>
      </c>
      <c r="B20" s="50"/>
      <c r="C20" s="55">
        <f>C10-C18</f>
        <v>-276814.98</v>
      </c>
      <c r="D20" s="50"/>
      <c r="E20" s="55">
        <f>E10-E18</f>
        <v>-36470.139999999665</v>
      </c>
    </row>
    <row r="21" spans="1:5" ht="15" customHeight="1">
      <c r="A21" s="60"/>
      <c r="B21" s="50"/>
      <c r="C21" s="56"/>
      <c r="D21" s="50"/>
      <c r="E21" s="56"/>
    </row>
    <row r="22" spans="1:5" ht="15" customHeight="1">
      <c r="A22" s="60" t="s">
        <v>54</v>
      </c>
      <c r="B22" s="50"/>
      <c r="C22" s="56"/>
      <c r="D22" s="50"/>
      <c r="E22" s="56"/>
    </row>
    <row r="23" spans="1:5" ht="15" customHeight="1">
      <c r="A23" s="53" t="s">
        <v>53</v>
      </c>
      <c r="B23" s="47">
        <f>'Earned Incurred QTD-5'!D52</f>
        <v>13712.520000000002</v>
      </c>
      <c r="C23" s="56"/>
      <c r="D23" s="58">
        <f>'Earned Incurred YTD-6'!D52</f>
        <v>27674.019999999997</v>
      </c>
      <c r="E23" s="56"/>
    </row>
    <row r="24" spans="1:5" ht="15" customHeight="1">
      <c r="A24" s="53" t="s">
        <v>52</v>
      </c>
      <c r="B24" s="57">
        <f>'Earned Incurred QTD-5'!D53</f>
        <v>-22.990000000000002</v>
      </c>
      <c r="C24" s="56"/>
      <c r="D24" s="57">
        <f>'Earned Incurred YTD-6'!D53</f>
        <v>7454.700000000001</v>
      </c>
      <c r="E24" s="56"/>
    </row>
    <row r="25" spans="1:5" ht="15" customHeight="1">
      <c r="A25" s="53" t="s">
        <v>51</v>
      </c>
      <c r="B25" s="50"/>
      <c r="C25" s="63">
        <f>SUM(B23:B24)</f>
        <v>13689.530000000002</v>
      </c>
      <c r="D25" s="50"/>
      <c r="E25" s="63">
        <f>SUM(D23:D24)</f>
        <v>35128.72</v>
      </c>
    </row>
    <row r="26" spans="1:5" ht="15" customHeight="1">
      <c r="A26" s="53"/>
      <c r="B26" s="50"/>
      <c r="C26" s="56"/>
      <c r="D26" s="50"/>
      <c r="E26" s="56"/>
    </row>
    <row r="27" spans="1:5" ht="15" customHeight="1">
      <c r="A27" s="60" t="s">
        <v>50</v>
      </c>
      <c r="B27" s="50"/>
      <c r="C27" s="56"/>
      <c r="D27" s="50"/>
      <c r="E27" s="56"/>
    </row>
    <row r="28" spans="1:5" ht="15" customHeight="1">
      <c r="A28" s="53" t="s">
        <v>49</v>
      </c>
      <c r="B28" s="47">
        <f>-'[1]Trial Balance'!C278</f>
        <v>400.28</v>
      </c>
      <c r="C28" s="56"/>
      <c r="D28" s="47">
        <f>-'[1]Trial Balance'!E278</f>
        <v>400.28</v>
      </c>
      <c r="E28" s="56"/>
    </row>
    <row r="29" spans="1:5" ht="15" customHeight="1">
      <c r="A29" s="53" t="s">
        <v>48</v>
      </c>
      <c r="B29" s="57">
        <f>-'[1]Trial Balance'!C279</f>
        <v>5443.5</v>
      </c>
      <c r="C29" s="56"/>
      <c r="D29" s="57">
        <f>-'[1]Trial Balance'!E279</f>
        <v>11000.85</v>
      </c>
      <c r="E29" s="56"/>
    </row>
    <row r="30" spans="1:6" ht="15" customHeight="1">
      <c r="A30" s="53" t="s">
        <v>47</v>
      </c>
      <c r="B30" s="50"/>
      <c r="C30" s="63">
        <f>SUM(B28:B29)</f>
        <v>5843.78</v>
      </c>
      <c r="D30" s="50"/>
      <c r="E30" s="63">
        <f>SUM(D28:D29)</f>
        <v>11401.130000000001</v>
      </c>
      <c r="F30" s="59"/>
    </row>
    <row r="31" spans="1:5" ht="15" customHeight="1">
      <c r="A31" s="53"/>
      <c r="B31" s="50"/>
      <c r="C31" s="56"/>
      <c r="D31" s="50"/>
      <c r="E31" s="56"/>
    </row>
    <row r="32" spans="1:5" ht="15" customHeight="1" thickBot="1">
      <c r="A32" s="53" t="s">
        <v>46</v>
      </c>
      <c r="B32" s="50"/>
      <c r="C32" s="62">
        <f>C20+C25+C30+1</f>
        <v>-257280.66999999995</v>
      </c>
      <c r="D32" s="50"/>
      <c r="E32" s="62">
        <f>E20+E25+E30</f>
        <v>10059.710000000337</v>
      </c>
    </row>
    <row r="33" spans="1:5" ht="15" customHeight="1">
      <c r="A33" s="60"/>
      <c r="B33" s="50"/>
      <c r="C33" s="61"/>
      <c r="D33" s="50"/>
      <c r="E33" s="61"/>
    </row>
    <row r="34" spans="1:5" ht="15" customHeight="1">
      <c r="A34" s="60" t="s">
        <v>2</v>
      </c>
      <c r="B34" s="50"/>
      <c r="C34" s="56"/>
      <c r="D34" s="50"/>
      <c r="E34" s="56"/>
    </row>
    <row r="35" spans="1:6" ht="15" customHeight="1">
      <c r="A35" s="53" t="s">
        <v>45</v>
      </c>
      <c r="B35" s="50"/>
      <c r="C35" s="55">
        <v>-4590066.469999995</v>
      </c>
      <c r="D35" s="50"/>
      <c r="E35" s="55">
        <v>-4908696.019999995</v>
      </c>
      <c r="F35" s="59"/>
    </row>
    <row r="36" spans="1:5" ht="15" customHeight="1">
      <c r="A36" s="53" t="s">
        <v>44</v>
      </c>
      <c r="B36" s="58">
        <f>C32</f>
        <v>-257280.66999999995</v>
      </c>
      <c r="C36" s="56"/>
      <c r="D36" s="58">
        <f>E32</f>
        <v>10059.710000000337</v>
      </c>
      <c r="E36" s="56"/>
    </row>
    <row r="37" spans="1:6" ht="15" customHeight="1">
      <c r="A37" s="53" t="s">
        <v>43</v>
      </c>
      <c r="B37" s="58">
        <f>-'[1]Trial Balance'!C209</f>
        <v>27124.65</v>
      </c>
      <c r="C37" s="56"/>
      <c r="D37" s="58">
        <v>65196.83</v>
      </c>
      <c r="E37" s="56"/>
      <c r="F37" s="54"/>
    </row>
    <row r="38" spans="1:6" ht="15" customHeight="1">
      <c r="A38" s="53" t="s">
        <v>42</v>
      </c>
      <c r="B38" s="57">
        <f>-'[1]Trial Balance'!C205</f>
        <v>9502.35</v>
      </c>
      <c r="C38" s="56"/>
      <c r="D38" s="57">
        <v>22719.34</v>
      </c>
      <c r="E38" s="56"/>
      <c r="F38" s="54"/>
    </row>
    <row r="39" spans="3:7" ht="14.25">
      <c r="C39" s="56"/>
      <c r="D39" s="47"/>
      <c r="E39" s="56"/>
      <c r="F39" s="47"/>
      <c r="G39" s="47"/>
    </row>
    <row r="40" spans="1:7" ht="15" customHeight="1">
      <c r="A40" s="53" t="s">
        <v>41</v>
      </c>
      <c r="C40" s="55">
        <f>SUM(B35:B38)</f>
        <v>-220653.66999999995</v>
      </c>
      <c r="D40" s="47"/>
      <c r="E40" s="55">
        <f>SUM(D35:D38)</f>
        <v>97975.88000000034</v>
      </c>
      <c r="F40" s="47"/>
      <c r="G40" s="54"/>
    </row>
    <row r="41" spans="1:6" ht="15" customHeight="1">
      <c r="A41" s="53"/>
      <c r="C41" s="52"/>
      <c r="D41" s="47"/>
      <c r="E41" s="52"/>
      <c r="F41" s="47"/>
    </row>
    <row r="42" spans="1:5" ht="15" customHeight="1" thickBot="1">
      <c r="A42" s="51" t="s">
        <v>40</v>
      </c>
      <c r="B42" s="50"/>
      <c r="C42" s="49">
        <f>C35+C40</f>
        <v>-4810720.139999995</v>
      </c>
      <c r="D42" s="50"/>
      <c r="E42" s="49">
        <f>E35+E40</f>
        <v>-4810720.139999995</v>
      </c>
    </row>
    <row r="43" spans="1:5" ht="15" customHeight="1" thickTop="1">
      <c r="A43" s="48"/>
      <c r="C43" s="47" t="s">
        <v>39</v>
      </c>
      <c r="E43" s="47"/>
    </row>
    <row r="44" spans="1:5" ht="15" customHeight="1">
      <c r="A44" s="48"/>
      <c r="D44" s="47"/>
      <c r="E44" s="47"/>
    </row>
    <row r="45" s="47" customFormat="1" ht="15" customHeight="1"/>
  </sheetData>
  <sheetProtection/>
  <mergeCells count="4">
    <mergeCell ref="A2:C2"/>
    <mergeCell ref="A1:E1"/>
    <mergeCell ref="A3:E3"/>
    <mergeCell ref="A4:E4"/>
  </mergeCells>
  <printOptions horizontalCentered="1"/>
  <pageMargins left="0.25" right="0.25" top="0.5" bottom="0.5" header="0.25" footer="0.25"/>
  <pageSetup orientation="portrait" scale="80" r:id="rId1"/>
  <headerFooter alignWithMargins="0">
    <oddFooter>&amp;CPage 2</oddFooter>
  </headerFooter>
</worksheet>
</file>

<file path=xl/worksheets/sheet3.xml><?xml version="1.0" encoding="utf-8"?>
<worksheet xmlns="http://schemas.openxmlformats.org/spreadsheetml/2006/main" xmlns:r="http://schemas.openxmlformats.org/officeDocument/2006/relationships">
  <dimension ref="A1:H89"/>
  <sheetViews>
    <sheetView zoomScalePageLayoutView="0" workbookViewId="0" topLeftCell="A1">
      <selection activeCell="A1" sqref="A1:F1"/>
    </sheetView>
  </sheetViews>
  <sheetFormatPr defaultColWidth="15.7109375" defaultRowHeight="15" customHeight="1"/>
  <cols>
    <col min="1" max="1" width="45.7109375" style="75" customWidth="1"/>
    <col min="2" max="3" width="15.7109375" style="78" customWidth="1"/>
    <col min="4" max="5" width="15.7109375" style="77" customWidth="1"/>
    <col min="6" max="6" width="15.7109375" style="76" customWidth="1"/>
    <col min="7" max="16384" width="15.7109375" style="75" customWidth="1"/>
  </cols>
  <sheetData>
    <row r="1" spans="1:6" s="119" customFormat="1" ht="30" customHeight="1">
      <c r="A1" s="300" t="s">
        <v>38</v>
      </c>
      <c r="B1" s="300"/>
      <c r="C1" s="300"/>
      <c r="D1" s="300"/>
      <c r="E1" s="300"/>
      <c r="F1" s="300"/>
    </row>
    <row r="2" spans="1:6" s="118" customFormat="1" ht="15" customHeight="1">
      <c r="A2" s="301"/>
      <c r="B2" s="301"/>
      <c r="C2" s="301"/>
      <c r="D2" s="301"/>
      <c r="E2" s="301"/>
      <c r="F2" s="301"/>
    </row>
    <row r="3" spans="1:6" s="117" customFormat="1" ht="15" customHeight="1">
      <c r="A3" s="302" t="s">
        <v>106</v>
      </c>
      <c r="B3" s="302"/>
      <c r="C3" s="302"/>
      <c r="D3" s="302"/>
      <c r="E3" s="302"/>
      <c r="F3" s="302"/>
    </row>
    <row r="4" spans="1:6" s="117" customFormat="1" ht="15" customHeight="1">
      <c r="A4" s="302" t="s">
        <v>105</v>
      </c>
      <c r="B4" s="302"/>
      <c r="C4" s="302"/>
      <c r="D4" s="302"/>
      <c r="E4" s="302"/>
      <c r="F4" s="302"/>
    </row>
    <row r="5" spans="1:6" s="111" customFormat="1" ht="15" customHeight="1">
      <c r="A5" s="116"/>
      <c r="B5" s="115"/>
      <c r="C5" s="115"/>
      <c r="D5" s="114"/>
      <c r="E5" s="113"/>
      <c r="F5" s="112"/>
    </row>
    <row r="6" spans="1:6" s="109" customFormat="1" ht="30" customHeight="1">
      <c r="A6" s="110"/>
      <c r="B6" s="321" t="s">
        <v>104</v>
      </c>
      <c r="C6" s="321" t="s">
        <v>103</v>
      </c>
      <c r="D6" s="321" t="s">
        <v>102</v>
      </c>
      <c r="E6" s="321" t="s">
        <v>101</v>
      </c>
      <c r="F6" s="322" t="s">
        <v>100</v>
      </c>
    </row>
    <row r="7" spans="1:6" s="83" customFormat="1" ht="15" customHeight="1">
      <c r="A7" s="98" t="s">
        <v>99</v>
      </c>
      <c r="B7" s="108"/>
      <c r="C7" s="108"/>
      <c r="D7" s="101"/>
      <c r="E7" s="101"/>
      <c r="F7" s="101"/>
    </row>
    <row r="8" spans="1:6" s="79" customFormat="1" ht="15" customHeight="1">
      <c r="A8" s="105" t="s">
        <v>98</v>
      </c>
      <c r="B8" s="107">
        <f>'Premiums QTD-7'!B12</f>
        <v>2891076</v>
      </c>
      <c r="C8" s="107">
        <f>'Premiums QTD-7'!C12</f>
        <v>-29890</v>
      </c>
      <c r="D8" s="107">
        <f>'Premiums QTD-7'!D12</f>
        <v>-174</v>
      </c>
      <c r="E8" s="90">
        <f>'Premiums QTD-7'!E12</f>
        <v>0</v>
      </c>
      <c r="F8" s="106">
        <f>SUM(B8:E8)</f>
        <v>2861012</v>
      </c>
    </row>
    <row r="9" spans="1:8" s="79" customFormat="1" ht="15" customHeight="1">
      <c r="A9" s="79" t="s">
        <v>48</v>
      </c>
      <c r="B9" s="99">
        <f>'Earned Incurred QTD-5'!D55</f>
        <v>5843.78</v>
      </c>
      <c r="C9" s="90">
        <v>0</v>
      </c>
      <c r="D9" s="90">
        <v>0</v>
      </c>
      <c r="E9" s="90">
        <v>0</v>
      </c>
      <c r="F9" s="89">
        <f>SUM(B9:E9)</f>
        <v>5843.78</v>
      </c>
      <c r="G9" s="81"/>
      <c r="H9" s="102"/>
    </row>
    <row r="10" spans="1:6" s="79" customFormat="1" ht="15" customHeight="1">
      <c r="A10" s="105" t="s">
        <v>97</v>
      </c>
      <c r="B10" s="99">
        <f>'Earned Incurred QTD-5'!C48</f>
        <v>13544.18</v>
      </c>
      <c r="C10" s="90">
        <v>0</v>
      </c>
      <c r="D10" s="90">
        <v>0</v>
      </c>
      <c r="E10" s="90">
        <v>0</v>
      </c>
      <c r="F10" s="89">
        <f>SUM(B10:E10)</f>
        <v>13544.18</v>
      </c>
    </row>
    <row r="11" spans="1:8" s="79" customFormat="1" ht="15" customHeight="1">
      <c r="A11" s="105" t="s">
        <v>96</v>
      </c>
      <c r="B11" s="99">
        <f>'Earned Incurred QTD-5'!D53</f>
        <v>-22.990000000000002</v>
      </c>
      <c r="C11" s="90">
        <v>0</v>
      </c>
      <c r="D11" s="90">
        <v>0</v>
      </c>
      <c r="E11" s="90">
        <v>0</v>
      </c>
      <c r="F11" s="99">
        <f>SUM(B11:E11)</f>
        <v>-22.990000000000002</v>
      </c>
      <c r="G11" s="81"/>
      <c r="H11" s="102"/>
    </row>
    <row r="12" spans="1:6" s="79" customFormat="1" ht="15" customHeight="1" thickBot="1">
      <c r="A12" s="84" t="s">
        <v>70</v>
      </c>
      <c r="B12" s="103">
        <f>SUM(B8:B11)</f>
        <v>2910440.9699999997</v>
      </c>
      <c r="C12" s="103">
        <f>SUM(C8:C11)</f>
        <v>-29890</v>
      </c>
      <c r="D12" s="103">
        <f>SUM(D8:D11)</f>
        <v>-174</v>
      </c>
      <c r="E12" s="94">
        <f>SUM(E8:E11)</f>
        <v>0</v>
      </c>
      <c r="F12" s="87">
        <f>SUM(F8:F11)</f>
        <v>2880376.9699999997</v>
      </c>
    </row>
    <row r="13" spans="1:6" s="79" customFormat="1" ht="15" customHeight="1" thickTop="1">
      <c r="A13" s="84"/>
      <c r="B13" s="80"/>
      <c r="C13" s="80"/>
      <c r="D13" s="80"/>
      <c r="E13" s="89"/>
      <c r="F13" s="89"/>
    </row>
    <row r="14" spans="1:6" s="79" customFormat="1" ht="15" customHeight="1">
      <c r="A14" s="98" t="s">
        <v>95</v>
      </c>
      <c r="B14" s="101"/>
      <c r="C14" s="101"/>
      <c r="D14" s="101"/>
      <c r="E14" s="100"/>
      <c r="F14" s="89"/>
    </row>
    <row r="15" spans="1:6" s="79" customFormat="1" ht="15" customHeight="1">
      <c r="A15" s="84" t="s">
        <v>94</v>
      </c>
      <c r="B15" s="99">
        <f>'Losses Incurred QTD-9'!B12</f>
        <v>341212.68000000005</v>
      </c>
      <c r="C15" s="99">
        <f>'Losses Incurred QTD-9'!C12</f>
        <v>1040398.24</v>
      </c>
      <c r="D15" s="99">
        <f>'Losses Incurred QTD-9'!D12</f>
        <v>115078.15999999999</v>
      </c>
      <c r="E15" s="90">
        <f>'Losses Incurred QTD-9'!E12</f>
        <v>0</v>
      </c>
      <c r="F15" s="89">
        <f>SUM(B15:E15)</f>
        <v>1496689.0799999998</v>
      </c>
    </row>
    <row r="16" spans="1:6" s="79" customFormat="1" ht="15" customHeight="1">
      <c r="A16" s="84" t="s">
        <v>93</v>
      </c>
      <c r="B16" s="99">
        <f>'[1]Loss Expenses Paid QTD-15'!$C$30</f>
        <v>20244.4</v>
      </c>
      <c r="C16" s="99">
        <f>'[1]Loss Expenses Paid QTD-15'!$C$24</f>
        <v>120553.23</v>
      </c>
      <c r="D16" s="99">
        <f>'[1]Loss Expenses Paid QTD-15'!$C$18</f>
        <v>21132.97</v>
      </c>
      <c r="E16" s="90">
        <f>'[1]Loss Expenses Paid QTD-15'!$C$12</f>
        <v>0</v>
      </c>
      <c r="F16" s="89">
        <f>SUM(B16:E16)-1</f>
        <v>161929.6</v>
      </c>
    </row>
    <row r="17" spans="1:6" s="79" customFormat="1" ht="15" customHeight="1">
      <c r="A17" s="84" t="s">
        <v>92</v>
      </c>
      <c r="B17" s="99">
        <f>'[1]Loss Expenses Paid QTD-15'!$I$30</f>
        <v>27752.41</v>
      </c>
      <c r="C17" s="99">
        <f>'[1]Loss Expenses Paid QTD-15'!$I$24</f>
        <v>86421.91</v>
      </c>
      <c r="D17" s="99">
        <f>'[1]Loss Expenses Paid QTD-15'!$I$18</f>
        <v>13266.4</v>
      </c>
      <c r="E17" s="90">
        <f>'[1]Loss Expenses Paid QTD-15'!$I$12</f>
        <v>0</v>
      </c>
      <c r="F17" s="89">
        <f>SUM(B17:E17)-1</f>
        <v>127439.72</v>
      </c>
    </row>
    <row r="18" spans="1:6" s="79" customFormat="1" ht="15" customHeight="1">
      <c r="A18" s="84" t="s">
        <v>91</v>
      </c>
      <c r="B18" s="99">
        <f>'[1]Trial Balance'!D417</f>
        <v>6615.21</v>
      </c>
      <c r="C18" s="90">
        <v>0</v>
      </c>
      <c r="D18" s="90">
        <v>0</v>
      </c>
      <c r="E18" s="90">
        <v>0</v>
      </c>
      <c r="F18" s="89">
        <f>SUM(B18:E18)</f>
        <v>6615.21</v>
      </c>
    </row>
    <row r="19" spans="1:7" s="79" customFormat="1" ht="15" customHeight="1">
      <c r="A19" s="104" t="s">
        <v>90</v>
      </c>
      <c r="B19" s="99">
        <f>'[1]Trial Balance'!D423</f>
        <v>17474.989999999998</v>
      </c>
      <c r="C19" s="90">
        <v>0</v>
      </c>
      <c r="D19" s="90">
        <v>0</v>
      </c>
      <c r="E19" s="90">
        <v>0</v>
      </c>
      <c r="F19" s="89">
        <f>SUM(B19:E19)</f>
        <v>17474.989999999998</v>
      </c>
      <c r="G19" s="81"/>
    </row>
    <row r="20" spans="1:7" s="79" customFormat="1" ht="15" customHeight="1">
      <c r="A20" s="84" t="s">
        <v>89</v>
      </c>
      <c r="B20" s="99">
        <f>'[1]Trial Balance'!D419</f>
        <v>4125</v>
      </c>
      <c r="C20" s="90">
        <v>0</v>
      </c>
      <c r="D20" s="90">
        <v>0</v>
      </c>
      <c r="E20" s="90">
        <v>0</v>
      </c>
      <c r="F20" s="89">
        <f>SUM(B20:E20)</f>
        <v>4125</v>
      </c>
      <c r="G20" s="81"/>
    </row>
    <row r="21" spans="1:6" s="79" customFormat="1" ht="15" customHeight="1">
      <c r="A21" s="104" t="s">
        <v>88</v>
      </c>
      <c r="B21" s="99">
        <f>'[1]Trial Balance'!D412-1</f>
        <v>255685.5</v>
      </c>
      <c r="C21" s="99">
        <f>'[1]Trial Balance'!D408</f>
        <v>-2404.3</v>
      </c>
      <c r="D21" s="99">
        <f>'[1]Trial Balance'!D404</f>
        <v>-17.4</v>
      </c>
      <c r="E21" s="90">
        <v>0</v>
      </c>
      <c r="F21" s="89">
        <f>SUM(B21:E21)+1</f>
        <v>253264.80000000002</v>
      </c>
    </row>
    <row r="22" spans="1:7" s="79" customFormat="1" ht="15" customHeight="1">
      <c r="A22" s="84" t="s">
        <v>87</v>
      </c>
      <c r="B22" s="99">
        <f>'Earned Incurred QTD-5'!C39</f>
        <v>901735.9399999997</v>
      </c>
      <c r="C22" s="90">
        <v>0</v>
      </c>
      <c r="D22" s="90">
        <v>0</v>
      </c>
      <c r="E22" s="90">
        <v>0</v>
      </c>
      <c r="F22" s="89">
        <f>SUM(B22:E22)</f>
        <v>901735.9399999997</v>
      </c>
      <c r="G22" s="81"/>
    </row>
    <row r="23" spans="1:7" s="79" customFormat="1" ht="15" customHeight="1">
      <c r="A23" s="84" t="s">
        <v>5</v>
      </c>
      <c r="B23" s="89">
        <f>11400+11894.73</f>
        <v>23294.73</v>
      </c>
      <c r="C23" s="89">
        <f>11400</f>
        <v>11400</v>
      </c>
      <c r="D23" s="90">
        <v>0</v>
      </c>
      <c r="E23" s="90">
        <v>0</v>
      </c>
      <c r="F23" s="89">
        <f>SUM(B23:E23)</f>
        <v>34694.729999999996</v>
      </c>
      <c r="G23" s="81"/>
    </row>
    <row r="24" spans="1:7" s="79" customFormat="1" ht="15" customHeight="1" thickBot="1">
      <c r="A24" s="84" t="s">
        <v>70</v>
      </c>
      <c r="B24" s="103">
        <f>SUM(B15:B23)</f>
        <v>1598140.8599999999</v>
      </c>
      <c r="C24" s="103">
        <f>SUM(C15:C23)</f>
        <v>1256369.0799999998</v>
      </c>
      <c r="D24" s="103">
        <f>SUM(D15:D23)</f>
        <v>149460.13</v>
      </c>
      <c r="E24" s="94">
        <f>SUM(E15:E23)</f>
        <v>0</v>
      </c>
      <c r="F24" s="87">
        <f>SUM(F15:F23)+1</f>
        <v>3003970.07</v>
      </c>
      <c r="G24" s="84"/>
    </row>
    <row r="25" spans="1:6" s="79" customFormat="1" ht="15" customHeight="1" thickTop="1">
      <c r="A25" s="84"/>
      <c r="B25" s="80"/>
      <c r="C25" s="80"/>
      <c r="D25" s="80"/>
      <c r="E25" s="89"/>
      <c r="F25" s="89"/>
    </row>
    <row r="26" spans="1:6" s="79" customFormat="1" ht="15" customHeight="1" thickBot="1">
      <c r="A26" s="86" t="s">
        <v>86</v>
      </c>
      <c r="B26" s="97">
        <f>B12-B24</f>
        <v>1312300.1099999999</v>
      </c>
      <c r="C26" s="97">
        <f>C12-C24</f>
        <v>-1286259.0799999998</v>
      </c>
      <c r="D26" s="97">
        <f>D12-D24</f>
        <v>-149634.13</v>
      </c>
      <c r="E26" s="94">
        <f>E12-E24</f>
        <v>0</v>
      </c>
      <c r="F26" s="96">
        <f>SUM(B26:E26)</f>
        <v>-123593.09999999998</v>
      </c>
    </row>
    <row r="27" spans="1:6" s="79" customFormat="1" ht="15" customHeight="1" thickTop="1">
      <c r="A27" s="84"/>
      <c r="B27" s="80"/>
      <c r="C27" s="80"/>
      <c r="D27" s="80"/>
      <c r="E27" s="89"/>
      <c r="F27" s="89"/>
    </row>
    <row r="28" spans="1:6" s="79" customFormat="1" ht="15" customHeight="1">
      <c r="A28" s="98" t="s">
        <v>85</v>
      </c>
      <c r="B28" s="101"/>
      <c r="C28" s="101"/>
      <c r="D28" s="101"/>
      <c r="E28" s="100"/>
      <c r="F28" s="89"/>
    </row>
    <row r="29" spans="1:6" s="79" customFormat="1" ht="15" customHeight="1">
      <c r="A29" s="84" t="s">
        <v>84</v>
      </c>
      <c r="B29" s="99">
        <f>'Earned Incurred QTD-5'!B50</f>
        <v>12064.89</v>
      </c>
      <c r="C29" s="90">
        <v>0</v>
      </c>
      <c r="D29" s="90">
        <v>0</v>
      </c>
      <c r="E29" s="90">
        <v>0</v>
      </c>
      <c r="F29" s="89">
        <f>SUM(B29:E29)</f>
        <v>12064.89</v>
      </c>
    </row>
    <row r="30" spans="1:7" s="79" customFormat="1" ht="15" customHeight="1">
      <c r="A30" s="84" t="s">
        <v>83</v>
      </c>
      <c r="B30" s="99">
        <f>'Balance Sheet-1'!D16</f>
        <v>1433241.35</v>
      </c>
      <c r="C30" s="90">
        <v>0</v>
      </c>
      <c r="D30" s="90">
        <v>0</v>
      </c>
      <c r="E30" s="90">
        <v>0</v>
      </c>
      <c r="F30" s="89">
        <f>SUM(B30:E30)</f>
        <v>1433241.35</v>
      </c>
      <c r="G30" s="81"/>
    </row>
    <row r="31" spans="1:8" s="79" customFormat="1" ht="15" customHeight="1" thickBot="1">
      <c r="A31" s="84" t="s">
        <v>70</v>
      </c>
      <c r="B31" s="88">
        <f>SUM(B29:B30)</f>
        <v>1445306.24</v>
      </c>
      <c r="C31" s="94">
        <f>SUM(C29:C30)</f>
        <v>0</v>
      </c>
      <c r="D31" s="94">
        <f>SUM(D29:D30)</f>
        <v>0</v>
      </c>
      <c r="E31" s="94">
        <f>SUM(E29:E30)</f>
        <v>0</v>
      </c>
      <c r="F31" s="96">
        <f>SUM(F29:F30)</f>
        <v>1445306.24</v>
      </c>
      <c r="G31" s="81"/>
      <c r="H31" s="102"/>
    </row>
    <row r="32" spans="1:6" s="79" customFormat="1" ht="15" customHeight="1" thickTop="1">
      <c r="A32" s="84"/>
      <c r="B32" s="101"/>
      <c r="C32" s="101"/>
      <c r="D32" s="101"/>
      <c r="E32" s="100"/>
      <c r="F32" s="89"/>
    </row>
    <row r="33" spans="1:6" s="79" customFormat="1" ht="15" customHeight="1">
      <c r="A33" s="98" t="s">
        <v>82</v>
      </c>
      <c r="B33" s="101"/>
      <c r="C33" s="101"/>
      <c r="D33" s="101"/>
      <c r="E33" s="100"/>
      <c r="F33" s="89"/>
    </row>
    <row r="34" spans="1:7" s="79" customFormat="1" ht="15" customHeight="1">
      <c r="A34" s="84" t="s">
        <v>81</v>
      </c>
      <c r="B34" s="99">
        <f>'Earned Incurred QTD-5'!B49</f>
        <v>12234.230000000001</v>
      </c>
      <c r="C34" s="90">
        <v>0</v>
      </c>
      <c r="D34" s="90">
        <v>0</v>
      </c>
      <c r="E34" s="90">
        <v>0</v>
      </c>
      <c r="F34" s="89">
        <f>SUM(B34:E34)</f>
        <v>12234.230000000001</v>
      </c>
      <c r="G34" s="81"/>
    </row>
    <row r="35" spans="1:8" s="79" customFormat="1" ht="15" customHeight="1">
      <c r="A35" s="84" t="s">
        <v>80</v>
      </c>
      <c r="B35" s="99">
        <v>1460366</v>
      </c>
      <c r="C35" s="90">
        <v>0</v>
      </c>
      <c r="D35" s="90">
        <v>0</v>
      </c>
      <c r="E35" s="90">
        <v>0</v>
      </c>
      <c r="F35" s="89">
        <f>SUM(B35:E35)</f>
        <v>1460366</v>
      </c>
      <c r="G35" s="81"/>
      <c r="H35" s="81"/>
    </row>
    <row r="36" spans="1:8" s="79" customFormat="1" ht="15" customHeight="1">
      <c r="A36" s="84" t="s">
        <v>79</v>
      </c>
      <c r="B36" s="89">
        <f>'Income Statement-2'!B38</f>
        <v>9502.35</v>
      </c>
      <c r="C36" s="90">
        <v>0</v>
      </c>
      <c r="D36" s="90">
        <v>0</v>
      </c>
      <c r="E36" s="90">
        <v>0</v>
      </c>
      <c r="F36" s="89">
        <f>SUM(B36:E36)</f>
        <v>9502.35</v>
      </c>
      <c r="G36" s="81"/>
      <c r="H36" s="81"/>
    </row>
    <row r="37" spans="1:7" s="79" customFormat="1" ht="15" customHeight="1" thickBot="1">
      <c r="A37" s="84" t="s">
        <v>70</v>
      </c>
      <c r="B37" s="88">
        <f>SUM(B34:B36)-1</f>
        <v>1482101.58</v>
      </c>
      <c r="C37" s="88">
        <f>SUM(C34:C36)</f>
        <v>0</v>
      </c>
      <c r="D37" s="94">
        <f>SUM(D34:D36)</f>
        <v>0</v>
      </c>
      <c r="E37" s="94">
        <f>SUM(E34:E36)</f>
        <v>0</v>
      </c>
      <c r="F37" s="96">
        <f>SUM(F34:F36)-1</f>
        <v>1482101.58</v>
      </c>
      <c r="G37" s="81"/>
    </row>
    <row r="38" spans="1:6" s="79" customFormat="1" ht="15" customHeight="1" thickTop="1">
      <c r="A38" s="84"/>
      <c r="B38" s="80"/>
      <c r="C38" s="80"/>
      <c r="D38" s="80"/>
      <c r="E38" s="89"/>
      <c r="F38" s="90"/>
    </row>
    <row r="39" spans="1:6" s="79" customFormat="1" ht="15" customHeight="1" thickBot="1">
      <c r="A39" s="98" t="s">
        <v>78</v>
      </c>
      <c r="B39" s="97">
        <f>B26-B31+B37+1</f>
        <v>1349096.45</v>
      </c>
      <c r="C39" s="97">
        <f>C26-C31+C37</f>
        <v>-1286259.0799999998</v>
      </c>
      <c r="D39" s="97">
        <f>D26-D31+D37</f>
        <v>-149634.13</v>
      </c>
      <c r="E39" s="94">
        <f>E26-E31+E37</f>
        <v>0</v>
      </c>
      <c r="F39" s="96">
        <f>F26-F31+F37+1</f>
        <v>-86796.75999999978</v>
      </c>
    </row>
    <row r="40" spans="1:6" s="79" customFormat="1" ht="15" customHeight="1" thickTop="1">
      <c r="A40" s="84"/>
      <c r="B40" s="80"/>
      <c r="C40" s="80"/>
      <c r="D40" s="80"/>
      <c r="E40" s="89"/>
      <c r="F40" s="89"/>
    </row>
    <row r="41" spans="1:6" s="79" customFormat="1" ht="15" customHeight="1">
      <c r="A41" s="93" t="s">
        <v>77</v>
      </c>
      <c r="B41" s="92"/>
      <c r="C41" s="92"/>
      <c r="D41" s="92"/>
      <c r="E41" s="89"/>
      <c r="F41" s="89"/>
    </row>
    <row r="42" spans="1:7" s="79" customFormat="1" ht="15" customHeight="1">
      <c r="A42" s="84" t="s">
        <v>11</v>
      </c>
      <c r="B42" s="89">
        <f>'Premiums QTD-7'!B18</f>
        <v>4191711.73</v>
      </c>
      <c r="C42" s="89">
        <f>'Premiums QTD-7'!C18</f>
        <v>1392885.26</v>
      </c>
      <c r="D42" s="90">
        <f>'Premiums QTD-7'!D18</f>
        <v>0</v>
      </c>
      <c r="E42" s="90">
        <f>'Premiums QTD-7'!E18</f>
        <v>0</v>
      </c>
      <c r="F42" s="89">
        <f>SUM(B42:E42)</f>
        <v>5584596.99</v>
      </c>
      <c r="G42" s="91"/>
    </row>
    <row r="43" spans="1:6" s="79" customFormat="1" ht="15" customHeight="1">
      <c r="A43" s="84" t="s">
        <v>74</v>
      </c>
      <c r="B43" s="89">
        <f>'Losses Incurred QTD-9'!B18+'Losses Incurred QTD-9'!B24</f>
        <v>753876.6</v>
      </c>
      <c r="C43" s="89">
        <f>'Losses Incurred QTD-9'!C18+'Losses Incurred QTD-9'!C24</f>
        <v>1445205.3900000001</v>
      </c>
      <c r="D43" s="89">
        <f>'Losses Incurred QTD-9'!D18+'Losses Incurred QTD-9'!D24</f>
        <v>98263.69</v>
      </c>
      <c r="E43" s="90">
        <f>'Losses Incurred QTD-9'!E18+'Losses Incurred QTD-9'!E24</f>
        <v>0</v>
      </c>
      <c r="F43" s="89">
        <f>SUM(B43:E43)</f>
        <v>2297345.68</v>
      </c>
    </row>
    <row r="44" spans="1:6" s="79" customFormat="1" ht="15" customHeight="1">
      <c r="A44" s="84" t="s">
        <v>76</v>
      </c>
      <c r="B44" s="89">
        <f>'Loss Expenses QTD-11'!B18</f>
        <v>93675.74</v>
      </c>
      <c r="C44" s="89">
        <f>'Loss Expenses QTD-11'!C18</f>
        <v>300271.07</v>
      </c>
      <c r="D44" s="89">
        <f>'Loss Expenses QTD-11'!D18</f>
        <v>56693.15</v>
      </c>
      <c r="E44" s="90">
        <f>'Loss Expenses QTD-11'!E18</f>
        <v>0</v>
      </c>
      <c r="F44" s="89">
        <f>SUM(B44:E44)</f>
        <v>450639.96</v>
      </c>
    </row>
    <row r="45" spans="1:6" s="79" customFormat="1" ht="15" customHeight="1">
      <c r="A45" s="84" t="s">
        <v>72</v>
      </c>
      <c r="B45" s="89">
        <f>'Earned Incurred QTD-5'!B41</f>
        <v>121784.53999999998</v>
      </c>
      <c r="C45" s="90">
        <v>0</v>
      </c>
      <c r="D45" s="90">
        <v>0</v>
      </c>
      <c r="E45" s="90">
        <v>0</v>
      </c>
      <c r="F45" s="89">
        <f>SUM(B45:E45)</f>
        <v>121784.53999999998</v>
      </c>
    </row>
    <row r="46" spans="1:6" s="79" customFormat="1" ht="15" customHeight="1">
      <c r="A46" s="84" t="s">
        <v>71</v>
      </c>
      <c r="B46" s="89">
        <f>'Earned Incurred QTD-5'!B33</f>
        <v>17294.58</v>
      </c>
      <c r="C46" s="90">
        <v>0</v>
      </c>
      <c r="D46" s="90">
        <v>0</v>
      </c>
      <c r="E46" s="90">
        <v>0</v>
      </c>
      <c r="F46" s="89">
        <f>SUM(B46:E46)</f>
        <v>17294.58</v>
      </c>
    </row>
    <row r="47" spans="1:6" s="79" customFormat="1" ht="15" customHeight="1" thickBot="1">
      <c r="A47" s="95" t="s">
        <v>70</v>
      </c>
      <c r="B47" s="88">
        <f>SUM(B42:B46)+2</f>
        <v>5178345.19</v>
      </c>
      <c r="C47" s="88">
        <f>SUM(C42:C46)-1</f>
        <v>3138360.72</v>
      </c>
      <c r="D47" s="88">
        <f>SUM(D42:D46)</f>
        <v>154956.84</v>
      </c>
      <c r="E47" s="94">
        <f>SUM(E42:E46)</f>
        <v>0</v>
      </c>
      <c r="F47" s="87">
        <f>SUM(F42:F46)+1</f>
        <v>8471662.75</v>
      </c>
    </row>
    <row r="48" spans="1:6" s="79" customFormat="1" ht="15" customHeight="1" thickTop="1">
      <c r="A48" s="84"/>
      <c r="B48" s="80"/>
      <c r="C48" s="80"/>
      <c r="D48" s="80"/>
      <c r="E48" s="89"/>
      <c r="F48" s="89"/>
    </row>
    <row r="49" spans="1:6" s="79" customFormat="1" ht="15" customHeight="1">
      <c r="A49" s="93" t="s">
        <v>75</v>
      </c>
      <c r="B49" s="92"/>
      <c r="C49" s="92"/>
      <c r="D49" s="92"/>
      <c r="E49" s="89"/>
      <c r="F49" s="89"/>
    </row>
    <row r="50" spans="1:7" s="79" customFormat="1" ht="15" customHeight="1">
      <c r="A50" s="84" t="s">
        <v>11</v>
      </c>
      <c r="B50" s="89">
        <f>'Premiums QTD-7'!B24</f>
        <v>2334182.48</v>
      </c>
      <c r="C50" s="89">
        <f>'Premiums QTD-7'!C24</f>
        <v>3178341.0299999993</v>
      </c>
      <c r="D50" s="90">
        <f>'Premiums QTD-7'!D24</f>
        <v>0</v>
      </c>
      <c r="E50" s="90">
        <f>'Premiums QTD-7'!E24</f>
        <v>0</v>
      </c>
      <c r="F50" s="89">
        <f>SUM(B50:E50)-1</f>
        <v>5512522.51</v>
      </c>
      <c r="G50" s="91"/>
    </row>
    <row r="51" spans="1:7" s="79" customFormat="1" ht="15" customHeight="1">
      <c r="A51" s="84" t="s">
        <v>74</v>
      </c>
      <c r="B51" s="89">
        <f>'Losses Incurred QTD-9'!B31</f>
        <v>147654</v>
      </c>
      <c r="C51" s="89">
        <f>'Losses Incurred QTD-9'!C31</f>
        <v>1600768.81</v>
      </c>
      <c r="D51" s="89">
        <f>'Losses Incurred QTD-9'!D31</f>
        <v>315911.56</v>
      </c>
      <c r="E51" s="89">
        <f>'Losses Incurred QTD-9'!E31</f>
        <v>25000</v>
      </c>
      <c r="F51" s="89">
        <f>SUM(B51:E51)+1</f>
        <v>2089335.37</v>
      </c>
      <c r="G51" s="81"/>
    </row>
    <row r="52" spans="1:7" s="79" customFormat="1" ht="15" customHeight="1">
      <c r="A52" s="84" t="s">
        <v>73</v>
      </c>
      <c r="B52" s="89">
        <f>'Loss Expenses QTD-11'!B24</f>
        <v>18094.53</v>
      </c>
      <c r="C52" s="89">
        <f>'Loss Expenses QTD-11'!C24</f>
        <v>424725.18</v>
      </c>
      <c r="D52" s="89">
        <f>'Loss Expenses QTD-11'!D24</f>
        <v>79050.76999999999</v>
      </c>
      <c r="E52" s="89">
        <f>'Loss Expenses QTD-11'!E24</f>
        <v>24798.199999999997</v>
      </c>
      <c r="F52" s="89">
        <f>SUM(B52:E52)</f>
        <v>546668.6799999999</v>
      </c>
      <c r="G52" s="81"/>
    </row>
    <row r="53" spans="1:7" s="79" customFormat="1" ht="15" customHeight="1">
      <c r="A53" s="84" t="s">
        <v>72</v>
      </c>
      <c r="B53" s="89">
        <f>'Earned Incurred QTD-5'!B42</f>
        <v>150500.14</v>
      </c>
      <c r="C53" s="90">
        <v>0</v>
      </c>
      <c r="D53" s="90">
        <v>0</v>
      </c>
      <c r="E53" s="90">
        <v>0</v>
      </c>
      <c r="F53" s="89">
        <f>SUM(B53:E53)</f>
        <v>150500.14</v>
      </c>
      <c r="G53" s="81"/>
    </row>
    <row r="54" spans="1:7" s="79" customFormat="1" ht="15" customHeight="1">
      <c r="A54" s="84" t="s">
        <v>71</v>
      </c>
      <c r="B54" s="89">
        <f>'Earned Incurred QTD-5'!B34</f>
        <v>38779.14</v>
      </c>
      <c r="C54" s="90">
        <v>0</v>
      </c>
      <c r="D54" s="90">
        <v>0</v>
      </c>
      <c r="E54" s="90">
        <v>0</v>
      </c>
      <c r="F54" s="89">
        <f>SUM(B54:E54)</f>
        <v>38779.14</v>
      </c>
      <c r="G54" s="81"/>
    </row>
    <row r="55" spans="1:6" s="79" customFormat="1" ht="15" customHeight="1" thickBot="1">
      <c r="A55" s="84" t="s">
        <v>70</v>
      </c>
      <c r="B55" s="88">
        <f>SUM(B50:B54)</f>
        <v>2689210.29</v>
      </c>
      <c r="C55" s="88">
        <f>SUM(C50:C54)</f>
        <v>5203835.02</v>
      </c>
      <c r="D55" s="88">
        <f>SUM(D50:D54)+1</f>
        <v>394963.32999999996</v>
      </c>
      <c r="E55" s="88">
        <f>SUM(E50:E54)</f>
        <v>49798.2</v>
      </c>
      <c r="F55" s="87">
        <f>SUM(F50:F54)</f>
        <v>8337805.839999999</v>
      </c>
    </row>
    <row r="56" spans="1:6" s="79" customFormat="1" ht="15" customHeight="1" thickTop="1">
      <c r="A56" s="84"/>
      <c r="B56" s="80"/>
      <c r="C56" s="80"/>
      <c r="D56" s="80"/>
      <c r="E56" s="80"/>
      <c r="F56" s="30"/>
    </row>
    <row r="57" spans="1:7" s="79" customFormat="1" ht="15" customHeight="1" thickBot="1">
      <c r="A57" s="86" t="s">
        <v>69</v>
      </c>
      <c r="B57" s="85">
        <f>B39-B47+B55-1</f>
        <v>-1140039.4500000002</v>
      </c>
      <c r="C57" s="85">
        <f>C39-C47+C55</f>
        <v>779215.2199999997</v>
      </c>
      <c r="D57" s="85">
        <f>D39-D47+D55</f>
        <v>90372.35999999999</v>
      </c>
      <c r="E57" s="85">
        <f>E39-E47+E55</f>
        <v>49798.2</v>
      </c>
      <c r="F57" s="85">
        <f>F39-F47+F55</f>
        <v>-220653.67000000086</v>
      </c>
      <c r="G57" s="81"/>
    </row>
    <row r="58" spans="1:6" s="79" customFormat="1" ht="15" customHeight="1" thickTop="1">
      <c r="A58" s="84"/>
      <c r="B58" s="81"/>
      <c r="C58" s="81"/>
      <c r="D58" s="80"/>
      <c r="E58" s="80"/>
      <c r="F58" s="80"/>
    </row>
    <row r="59" spans="2:6" s="79" customFormat="1" ht="15" customHeight="1">
      <c r="B59" s="81"/>
      <c r="C59" s="81"/>
      <c r="D59" s="80"/>
      <c r="E59" s="80"/>
      <c r="F59" s="80"/>
    </row>
    <row r="60" spans="2:6" s="79" customFormat="1" ht="15" customHeight="1">
      <c r="B60" s="81"/>
      <c r="C60" s="81"/>
      <c r="D60" s="80"/>
      <c r="E60" s="80"/>
      <c r="F60" s="80"/>
    </row>
    <row r="61" spans="2:6" s="79" customFormat="1" ht="15" customHeight="1">
      <c r="B61" s="81"/>
      <c r="C61" s="81"/>
      <c r="D61" s="80"/>
      <c r="E61" s="80"/>
      <c r="F61" s="80"/>
    </row>
    <row r="62" spans="1:6" s="79" customFormat="1" ht="15" customHeight="1">
      <c r="A62" s="83"/>
      <c r="B62" s="82"/>
      <c r="C62" s="82"/>
      <c r="D62" s="80"/>
      <c r="E62" s="80"/>
      <c r="F62" s="80"/>
    </row>
    <row r="63" spans="2:6" s="79" customFormat="1" ht="15" customHeight="1">
      <c r="B63" s="81"/>
      <c r="C63" s="81"/>
      <c r="D63" s="80"/>
      <c r="E63" s="80"/>
      <c r="F63" s="30"/>
    </row>
    <row r="64" spans="2:6" s="79" customFormat="1" ht="15" customHeight="1">
      <c r="B64" s="81"/>
      <c r="C64" s="81"/>
      <c r="D64" s="80"/>
      <c r="E64" s="80"/>
      <c r="F64" s="30"/>
    </row>
    <row r="65" spans="2:6" s="79" customFormat="1" ht="15" customHeight="1">
      <c r="B65" s="81"/>
      <c r="C65" s="81"/>
      <c r="D65" s="80"/>
      <c r="E65" s="80"/>
      <c r="F65" s="30"/>
    </row>
    <row r="66" spans="2:6" s="79" customFormat="1" ht="15" customHeight="1">
      <c r="B66" s="81"/>
      <c r="C66" s="81"/>
      <c r="D66" s="80"/>
      <c r="E66" s="80"/>
      <c r="F66" s="30"/>
    </row>
    <row r="67" spans="2:6" s="79" customFormat="1" ht="15" customHeight="1">
      <c r="B67" s="81"/>
      <c r="C67" s="81"/>
      <c r="D67" s="80"/>
      <c r="E67" s="80"/>
      <c r="F67" s="30"/>
    </row>
    <row r="68" spans="2:6" s="79" customFormat="1" ht="15" customHeight="1">
      <c r="B68" s="81"/>
      <c r="C68" s="81"/>
      <c r="D68" s="80"/>
      <c r="E68" s="80"/>
      <c r="F68" s="30"/>
    </row>
    <row r="69" spans="2:6" s="79" customFormat="1" ht="15" customHeight="1">
      <c r="B69" s="81"/>
      <c r="C69" s="81"/>
      <c r="D69" s="80"/>
      <c r="E69" s="80"/>
      <c r="F69" s="30"/>
    </row>
    <row r="70" spans="2:6" s="79" customFormat="1" ht="15" customHeight="1">
      <c r="B70" s="81"/>
      <c r="C70" s="81"/>
      <c r="D70" s="80"/>
      <c r="E70" s="80"/>
      <c r="F70" s="30"/>
    </row>
    <row r="71" spans="2:6" s="79" customFormat="1" ht="15" customHeight="1">
      <c r="B71" s="81"/>
      <c r="C71" s="81"/>
      <c r="D71" s="80"/>
      <c r="E71" s="80"/>
      <c r="F71" s="30"/>
    </row>
    <row r="72" spans="2:6" s="79" customFormat="1" ht="15" customHeight="1">
      <c r="B72" s="81"/>
      <c r="C72" s="81"/>
      <c r="D72" s="80"/>
      <c r="E72" s="80"/>
      <c r="F72" s="30"/>
    </row>
    <row r="73" spans="2:6" s="79" customFormat="1" ht="15" customHeight="1">
      <c r="B73" s="81"/>
      <c r="C73" s="81"/>
      <c r="D73" s="80"/>
      <c r="E73" s="80"/>
      <c r="F73" s="30"/>
    </row>
    <row r="74" spans="2:6" s="79" customFormat="1" ht="15" customHeight="1">
      <c r="B74" s="81"/>
      <c r="C74" s="81"/>
      <c r="D74" s="80"/>
      <c r="E74" s="80"/>
      <c r="F74" s="30"/>
    </row>
    <row r="75" spans="2:6" s="79" customFormat="1" ht="15" customHeight="1">
      <c r="B75" s="81"/>
      <c r="C75" s="81"/>
      <c r="D75" s="80"/>
      <c r="E75" s="80"/>
      <c r="F75" s="30"/>
    </row>
    <row r="76" spans="2:6" s="79" customFormat="1" ht="15" customHeight="1">
      <c r="B76" s="81"/>
      <c r="C76" s="81"/>
      <c r="D76" s="80"/>
      <c r="E76" s="80"/>
      <c r="F76" s="30"/>
    </row>
    <row r="77" spans="2:6" s="79" customFormat="1" ht="15" customHeight="1">
      <c r="B77" s="81"/>
      <c r="C77" s="81"/>
      <c r="D77" s="80"/>
      <c r="E77" s="80"/>
      <c r="F77" s="30"/>
    </row>
    <row r="78" spans="2:6" s="79" customFormat="1" ht="15" customHeight="1">
      <c r="B78" s="81"/>
      <c r="C78" s="81"/>
      <c r="D78" s="80"/>
      <c r="E78" s="80"/>
      <c r="F78" s="30"/>
    </row>
    <row r="79" spans="2:6" s="79" customFormat="1" ht="15" customHeight="1">
      <c r="B79" s="81"/>
      <c r="C79" s="81"/>
      <c r="D79" s="80"/>
      <c r="E79" s="80"/>
      <c r="F79" s="30"/>
    </row>
    <row r="80" spans="2:6" s="79" customFormat="1" ht="15" customHeight="1">
      <c r="B80" s="81"/>
      <c r="C80" s="81"/>
      <c r="D80" s="80"/>
      <c r="E80" s="80"/>
      <c r="F80" s="30"/>
    </row>
    <row r="81" spans="2:6" s="79" customFormat="1" ht="15" customHeight="1">
      <c r="B81" s="81"/>
      <c r="C81" s="81"/>
      <c r="D81" s="80"/>
      <c r="E81" s="80"/>
      <c r="F81" s="30"/>
    </row>
    <row r="82" spans="2:6" s="79" customFormat="1" ht="15" customHeight="1">
      <c r="B82" s="81"/>
      <c r="C82" s="81"/>
      <c r="D82" s="80"/>
      <c r="E82" s="80"/>
      <c r="F82" s="30"/>
    </row>
    <row r="83" spans="2:6" s="79" customFormat="1" ht="15" customHeight="1">
      <c r="B83" s="81"/>
      <c r="C83" s="81"/>
      <c r="D83" s="80"/>
      <c r="E83" s="80"/>
      <c r="F83" s="30"/>
    </row>
    <row r="84" spans="2:6" s="79" customFormat="1" ht="15" customHeight="1">
      <c r="B84" s="81"/>
      <c r="C84" s="81"/>
      <c r="D84" s="80"/>
      <c r="E84" s="80"/>
      <c r="F84" s="30"/>
    </row>
    <row r="85" spans="2:6" s="79" customFormat="1" ht="15" customHeight="1">
      <c r="B85" s="81"/>
      <c r="C85" s="81"/>
      <c r="D85" s="80"/>
      <c r="E85" s="80"/>
      <c r="F85" s="30"/>
    </row>
    <row r="86" spans="2:6" s="79" customFormat="1" ht="15" customHeight="1">
      <c r="B86" s="81"/>
      <c r="C86" s="81"/>
      <c r="D86" s="80"/>
      <c r="E86" s="80"/>
      <c r="F86" s="30"/>
    </row>
    <row r="87" spans="2:6" s="79" customFormat="1" ht="15" customHeight="1">
      <c r="B87" s="81"/>
      <c r="C87" s="81"/>
      <c r="D87" s="80"/>
      <c r="E87" s="80"/>
      <c r="F87" s="30"/>
    </row>
    <row r="88" spans="2:6" s="79" customFormat="1" ht="15" customHeight="1">
      <c r="B88" s="81"/>
      <c r="C88" s="81"/>
      <c r="D88" s="80"/>
      <c r="E88" s="80"/>
      <c r="F88" s="30"/>
    </row>
    <row r="89" spans="2:6" s="79" customFormat="1" ht="15" customHeight="1">
      <c r="B89" s="81"/>
      <c r="C89" s="81"/>
      <c r="D89" s="80"/>
      <c r="E89" s="80"/>
      <c r="F89" s="30"/>
    </row>
  </sheetData>
  <sheetProtection/>
  <mergeCells count="4">
    <mergeCell ref="A1:F1"/>
    <mergeCell ref="A2:F2"/>
    <mergeCell ref="A3:F3"/>
    <mergeCell ref="A4:F4"/>
  </mergeCells>
  <printOptions horizontalCentered="1"/>
  <pageMargins left="0.25" right="0.25" top="0.5" bottom="0.5" header="0.25" footer="0.25"/>
  <pageSetup horizontalDpi="300" verticalDpi="300" orientation="portrait" scale="70" r:id="rId1"/>
  <headerFooter alignWithMargins="0">
    <oddFooter>&amp;CPage 3
</oddFooter>
  </headerFooter>
</worksheet>
</file>

<file path=xl/worksheets/sheet4.xml><?xml version="1.0" encoding="utf-8"?>
<worksheet xmlns="http://schemas.openxmlformats.org/spreadsheetml/2006/main" xmlns:r="http://schemas.openxmlformats.org/officeDocument/2006/relationships">
  <dimension ref="A1:I89"/>
  <sheetViews>
    <sheetView zoomScalePageLayoutView="0" workbookViewId="0" topLeftCell="A1">
      <selection activeCell="A1" sqref="A1:F1"/>
    </sheetView>
  </sheetViews>
  <sheetFormatPr defaultColWidth="15.7109375" defaultRowHeight="15" customHeight="1"/>
  <cols>
    <col min="1" max="1" width="45.7109375" style="75" customWidth="1"/>
    <col min="2" max="3" width="15.7109375" style="78" customWidth="1"/>
    <col min="4" max="5" width="15.7109375" style="77" customWidth="1"/>
    <col min="6" max="6" width="15.7109375" style="76" customWidth="1"/>
    <col min="7" max="16384" width="15.7109375" style="75" customWidth="1"/>
  </cols>
  <sheetData>
    <row r="1" spans="1:6" s="119" customFormat="1" ht="30" customHeight="1">
      <c r="A1" s="300" t="s">
        <v>38</v>
      </c>
      <c r="B1" s="300"/>
      <c r="C1" s="300"/>
      <c r="D1" s="300"/>
      <c r="E1" s="300"/>
      <c r="F1" s="300"/>
    </row>
    <row r="2" spans="1:6" s="118" customFormat="1" ht="15" customHeight="1">
      <c r="A2" s="301"/>
      <c r="B2" s="301"/>
      <c r="C2" s="301"/>
      <c r="D2" s="301"/>
      <c r="E2" s="301"/>
      <c r="F2" s="301"/>
    </row>
    <row r="3" spans="1:6" s="117" customFormat="1" ht="15" customHeight="1">
      <c r="A3" s="302" t="s">
        <v>106</v>
      </c>
      <c r="B3" s="302"/>
      <c r="C3" s="302"/>
      <c r="D3" s="302"/>
      <c r="E3" s="302"/>
      <c r="F3" s="302"/>
    </row>
    <row r="4" spans="1:6" s="117" customFormat="1" ht="15" customHeight="1">
      <c r="A4" s="302" t="s">
        <v>109</v>
      </c>
      <c r="B4" s="302"/>
      <c r="C4" s="302"/>
      <c r="D4" s="302"/>
      <c r="E4" s="302"/>
      <c r="F4" s="302"/>
    </row>
    <row r="5" spans="1:6" s="111" customFormat="1" ht="15" customHeight="1">
      <c r="A5" s="126"/>
      <c r="B5" s="125"/>
      <c r="C5" s="125"/>
      <c r="D5" s="124"/>
      <c r="E5" s="123"/>
      <c r="F5" s="122"/>
    </row>
    <row r="6" spans="1:6" s="109" customFormat="1" ht="30" customHeight="1">
      <c r="A6" s="110"/>
      <c r="B6" s="321" t="s">
        <v>104</v>
      </c>
      <c r="C6" s="321" t="s">
        <v>103</v>
      </c>
      <c r="D6" s="321" t="s">
        <v>102</v>
      </c>
      <c r="E6" s="321" t="s">
        <v>101</v>
      </c>
      <c r="F6" s="322" t="s">
        <v>100</v>
      </c>
    </row>
    <row r="7" spans="1:6" s="83" customFormat="1" ht="15" customHeight="1">
      <c r="A7" s="98" t="s">
        <v>99</v>
      </c>
      <c r="B7" s="108"/>
      <c r="C7" s="108"/>
      <c r="D7" s="101"/>
      <c r="E7" s="101"/>
      <c r="F7" s="101"/>
    </row>
    <row r="8" spans="1:6" s="79" customFormat="1" ht="15" customHeight="1">
      <c r="A8" s="105" t="s">
        <v>98</v>
      </c>
      <c r="B8" s="107">
        <f>'Premiums YTD-8'!B12</f>
        <v>5554842</v>
      </c>
      <c r="C8" s="107">
        <f>'Premiums YTD-8'!C12</f>
        <v>-92733</v>
      </c>
      <c r="D8" s="107">
        <f>'Premiums YTD-8'!D12</f>
        <v>-845</v>
      </c>
      <c r="E8" s="90">
        <f>'Premiums YTD-8'!E12</f>
        <v>0</v>
      </c>
      <c r="F8" s="106">
        <f>SUM(B8:E8)</f>
        <v>5461264</v>
      </c>
    </row>
    <row r="9" spans="1:8" s="79" customFormat="1" ht="15" customHeight="1">
      <c r="A9" s="105" t="s">
        <v>108</v>
      </c>
      <c r="B9" s="99">
        <f>'Earned Incurred YTD-6'!D55</f>
        <v>11401.130000000001</v>
      </c>
      <c r="C9" s="90">
        <v>0</v>
      </c>
      <c r="D9" s="90">
        <v>0</v>
      </c>
      <c r="E9" s="90">
        <v>0</v>
      </c>
      <c r="F9" s="89">
        <f>SUM(B9:E9)</f>
        <v>11401.130000000001</v>
      </c>
      <c r="G9" s="81"/>
      <c r="H9" s="102"/>
    </row>
    <row r="10" spans="1:7" s="79" customFormat="1" ht="15" customHeight="1">
      <c r="A10" s="105" t="s">
        <v>97</v>
      </c>
      <c r="B10" s="99">
        <f>'Earned Incurred YTD-6'!C48</f>
        <v>31261.789999999994</v>
      </c>
      <c r="C10" s="90">
        <v>0</v>
      </c>
      <c r="D10" s="90">
        <v>0</v>
      </c>
      <c r="E10" s="90">
        <v>0</v>
      </c>
      <c r="F10" s="89">
        <f>SUM(B10:E10)</f>
        <v>31261.789999999994</v>
      </c>
      <c r="G10" s="81"/>
    </row>
    <row r="11" spans="1:8" s="79" customFormat="1" ht="15" customHeight="1">
      <c r="A11" s="105" t="s">
        <v>107</v>
      </c>
      <c r="B11" s="99">
        <f>'Earned Incurred YTD-6'!D53</f>
        <v>7454.700000000001</v>
      </c>
      <c r="C11" s="90">
        <v>0</v>
      </c>
      <c r="D11" s="90">
        <v>0</v>
      </c>
      <c r="E11" s="90">
        <v>0</v>
      </c>
      <c r="F11" s="89">
        <f>SUM(B11:E11)</f>
        <v>7454.700000000001</v>
      </c>
      <c r="G11" s="81"/>
      <c r="H11" s="102"/>
    </row>
    <row r="12" spans="1:6" s="79" customFormat="1" ht="15" customHeight="1" thickBot="1">
      <c r="A12" s="84" t="s">
        <v>70</v>
      </c>
      <c r="B12" s="103">
        <f>SUM(B8:B11)</f>
        <v>5604959.62</v>
      </c>
      <c r="C12" s="103">
        <f>SUM(C8:C11)</f>
        <v>-92733</v>
      </c>
      <c r="D12" s="103">
        <f>SUM(D8:D11)</f>
        <v>-845</v>
      </c>
      <c r="E12" s="94">
        <f>SUM(E8:E11)</f>
        <v>0</v>
      </c>
      <c r="F12" s="87">
        <f>SUM(F8:F11)</f>
        <v>5511381.62</v>
      </c>
    </row>
    <row r="13" spans="1:6" s="79" customFormat="1" ht="15" customHeight="1" thickTop="1">
      <c r="A13" s="84"/>
      <c r="B13" s="80"/>
      <c r="C13" s="80"/>
      <c r="D13" s="80"/>
      <c r="E13" s="89"/>
      <c r="F13" s="89"/>
    </row>
    <row r="14" spans="1:6" s="79" customFormat="1" ht="15" customHeight="1">
      <c r="A14" s="98" t="s">
        <v>95</v>
      </c>
      <c r="B14" s="101"/>
      <c r="C14" s="101"/>
      <c r="D14" s="101"/>
      <c r="E14" s="100"/>
      <c r="F14" s="89"/>
    </row>
    <row r="15" spans="1:6" s="79" customFormat="1" ht="15" customHeight="1">
      <c r="A15" s="84" t="s">
        <v>94</v>
      </c>
      <c r="B15" s="99">
        <f>'Losses Incurred YTD-10'!B12</f>
        <v>381422.25</v>
      </c>
      <c r="C15" s="99">
        <f>'Losses Incurred YTD-10'!C12</f>
        <v>2532921.3</v>
      </c>
      <c r="D15" s="99">
        <f>'Losses Incurred YTD-10'!D12</f>
        <v>402407.28</v>
      </c>
      <c r="E15" s="90">
        <f>'Losses Incurred YTD-10'!E12</f>
        <v>0</v>
      </c>
      <c r="F15" s="89">
        <f>SUM(B15:E15)-1</f>
        <v>3316749.83</v>
      </c>
    </row>
    <row r="16" spans="1:6" s="79" customFormat="1" ht="15" customHeight="1">
      <c r="A16" s="84" t="s">
        <v>93</v>
      </c>
      <c r="B16" s="99">
        <f>'[1]Loss Expenses Paid YTD-16'!$C$30</f>
        <v>22977.55</v>
      </c>
      <c r="C16" s="99">
        <f>'[1]Loss Expenses Paid YTD-16'!$C$24</f>
        <v>262559.86</v>
      </c>
      <c r="D16" s="99">
        <f>'[1]Loss Expenses Paid YTD-16'!$C$18</f>
        <v>77735.51000000001</v>
      </c>
      <c r="E16" s="90">
        <f>'[1]Loss Expenses Paid YTD-16'!$C$12</f>
        <v>0</v>
      </c>
      <c r="F16" s="89">
        <f>SUM(B16:E16)+1</f>
        <v>363273.92</v>
      </c>
    </row>
    <row r="17" spans="1:7" s="79" customFormat="1" ht="15" customHeight="1">
      <c r="A17" s="84" t="s">
        <v>92</v>
      </c>
      <c r="B17" s="99">
        <f>'[1]Loss Expenses Paid YTD-16'!$I$30</f>
        <v>30770.079999999998</v>
      </c>
      <c r="C17" s="99">
        <f>'[1]Loss Expenses Paid YTD-16'!$I$24</f>
        <v>198470.83000000002</v>
      </c>
      <c r="D17" s="99">
        <f>'[1]Loss Expenses Paid YTD-16'!$I$18</f>
        <v>37314.12</v>
      </c>
      <c r="E17" s="90">
        <f>'[1]Loss Expenses Paid YTD-16'!$I$12</f>
        <v>0</v>
      </c>
      <c r="F17" s="89">
        <f>SUM(B17:E17)</f>
        <v>266555.03</v>
      </c>
      <c r="G17" s="81"/>
    </row>
    <row r="18" spans="1:6" s="79" customFormat="1" ht="15" customHeight="1">
      <c r="A18" s="84" t="s">
        <v>91</v>
      </c>
      <c r="B18" s="99">
        <f>'[1]Trial Balance'!F417</f>
        <v>22370.15</v>
      </c>
      <c r="C18" s="90">
        <v>0</v>
      </c>
      <c r="D18" s="90">
        <v>0</v>
      </c>
      <c r="E18" s="90">
        <v>0</v>
      </c>
      <c r="F18" s="89">
        <f>SUM(B18:E18)</f>
        <v>22370.15</v>
      </c>
    </row>
    <row r="19" spans="1:7" s="79" customFormat="1" ht="15" customHeight="1">
      <c r="A19" s="104" t="s">
        <v>90</v>
      </c>
      <c r="B19" s="99">
        <f>'[1]Trial Balance'!F423</f>
        <v>38435.8</v>
      </c>
      <c r="C19" s="90">
        <v>0</v>
      </c>
      <c r="D19" s="90">
        <v>0</v>
      </c>
      <c r="E19" s="90">
        <v>0</v>
      </c>
      <c r="F19" s="89">
        <f>SUM(B19:E19)</f>
        <v>38435.8</v>
      </c>
      <c r="G19" s="81"/>
    </row>
    <row r="20" spans="1:7" s="79" customFormat="1" ht="15" customHeight="1">
      <c r="A20" s="84" t="s">
        <v>89</v>
      </c>
      <c r="B20" s="99">
        <f>'[1]Trial Balance'!F419</f>
        <v>8250</v>
      </c>
      <c r="C20" s="90">
        <v>0</v>
      </c>
      <c r="D20" s="90">
        <v>0</v>
      </c>
      <c r="E20" s="90">
        <v>0</v>
      </c>
      <c r="F20" s="89">
        <f>SUM(B20:E20)</f>
        <v>8250</v>
      </c>
      <c r="G20" s="81"/>
    </row>
    <row r="21" spans="1:7" s="79" customFormat="1" ht="15" customHeight="1">
      <c r="A21" s="104" t="s">
        <v>88</v>
      </c>
      <c r="B21" s="99">
        <f>'[1]Trial Balance'!F412+1</f>
        <v>480650.2</v>
      </c>
      <c r="C21" s="99">
        <f>'[1]Trial Balance'!F408</f>
        <v>-7602.799999999999</v>
      </c>
      <c r="D21" s="99">
        <f>'[1]Trial Balance'!F404</f>
        <v>-84.5</v>
      </c>
      <c r="E21" s="90">
        <v>0</v>
      </c>
      <c r="F21" s="89">
        <f>SUM(B21:E21)-1</f>
        <v>472961.9</v>
      </c>
      <c r="G21" s="81"/>
    </row>
    <row r="22" spans="1:7" s="79" customFormat="1" ht="15" customHeight="1">
      <c r="A22" s="84" t="s">
        <v>87</v>
      </c>
      <c r="B22" s="99">
        <f>'Earned Incurred YTD-6'!C39</f>
        <v>1833344.789999999</v>
      </c>
      <c r="C22" s="90">
        <v>0</v>
      </c>
      <c r="D22" s="90">
        <v>0</v>
      </c>
      <c r="E22" s="90">
        <v>0</v>
      </c>
      <c r="F22" s="89">
        <f>SUM(B22:E22)</f>
        <v>1833344.789999999</v>
      </c>
      <c r="G22" s="81"/>
    </row>
    <row r="23" spans="1:7" s="79" customFormat="1" ht="15" customHeight="1">
      <c r="A23" s="84" t="s">
        <v>5</v>
      </c>
      <c r="B23" s="89">
        <f>14910.31+11400+11894.73</f>
        <v>38205.03999999999</v>
      </c>
      <c r="C23" s="89">
        <f>2047.47+1+11400</f>
        <v>13448.470000000001</v>
      </c>
      <c r="D23" s="90">
        <v>0</v>
      </c>
      <c r="E23" s="90">
        <v>0</v>
      </c>
      <c r="F23" s="89">
        <f>SUM(B23:E23)-1</f>
        <v>51652.509999999995</v>
      </c>
      <c r="G23" s="81"/>
    </row>
    <row r="24" spans="1:7" s="79" customFormat="1" ht="15" customHeight="1" thickBot="1">
      <c r="A24" s="84" t="s">
        <v>70</v>
      </c>
      <c r="B24" s="103">
        <f>SUM(B15:B23)</f>
        <v>2856425.8599999994</v>
      </c>
      <c r="C24" s="103">
        <f>SUM(C15:C23)-1</f>
        <v>2999796.66</v>
      </c>
      <c r="D24" s="103">
        <f>SUM(D15:D23)</f>
        <v>517372.41000000003</v>
      </c>
      <c r="E24" s="121">
        <f>SUM(E15:E23)</f>
        <v>0</v>
      </c>
      <c r="F24" s="87">
        <f>SUM(F15:F23)+1</f>
        <v>6373594.929999999</v>
      </c>
      <c r="G24" s="84"/>
    </row>
    <row r="25" spans="1:6" s="79" customFormat="1" ht="15" customHeight="1" thickTop="1">
      <c r="A25" s="84"/>
      <c r="B25" s="80"/>
      <c r="C25" s="80"/>
      <c r="D25" s="80"/>
      <c r="E25" s="89"/>
      <c r="F25" s="89"/>
    </row>
    <row r="26" spans="1:6" s="79" customFormat="1" ht="15" customHeight="1" thickBot="1">
      <c r="A26" s="86" t="s">
        <v>86</v>
      </c>
      <c r="B26" s="97">
        <f>B12-B24</f>
        <v>2748533.7600000007</v>
      </c>
      <c r="C26" s="97">
        <f>C12-C24</f>
        <v>-3092529.66</v>
      </c>
      <c r="D26" s="97">
        <f>D12-D24</f>
        <v>-518217.41000000003</v>
      </c>
      <c r="E26" s="120">
        <f>E12-E24</f>
        <v>0</v>
      </c>
      <c r="F26" s="96">
        <f>SUM(B26:E26)</f>
        <v>-862213.3099999995</v>
      </c>
    </row>
    <row r="27" spans="1:6" s="79" customFormat="1" ht="15" customHeight="1" thickTop="1">
      <c r="A27" s="84"/>
      <c r="B27" s="80"/>
      <c r="C27" s="80"/>
      <c r="D27" s="80"/>
      <c r="E27" s="89"/>
      <c r="F27" s="89"/>
    </row>
    <row r="28" spans="1:6" s="79" customFormat="1" ht="15" customHeight="1">
      <c r="A28" s="98" t="s">
        <v>85</v>
      </c>
      <c r="B28" s="101"/>
      <c r="C28" s="101"/>
      <c r="D28" s="101"/>
      <c r="E28" s="100"/>
      <c r="F28" s="89"/>
    </row>
    <row r="29" spans="1:6" s="79" customFormat="1" ht="15" customHeight="1">
      <c r="A29" s="84" t="s">
        <v>84</v>
      </c>
      <c r="B29" s="90">
        <v>0</v>
      </c>
      <c r="C29" s="99">
        <f>'Earned Incurred YTD-6'!B50</f>
        <v>15822</v>
      </c>
      <c r="D29" s="90">
        <v>0</v>
      </c>
      <c r="E29" s="90">
        <v>0</v>
      </c>
      <c r="F29" s="89">
        <f>SUM(B29:E29)</f>
        <v>15822</v>
      </c>
    </row>
    <row r="30" spans="1:7" s="79" customFormat="1" ht="15" customHeight="1">
      <c r="A30" s="84" t="s">
        <v>83</v>
      </c>
      <c r="B30" s="99">
        <f>'Balance Sheet-1'!D16</f>
        <v>1433241.35</v>
      </c>
      <c r="C30" s="90">
        <v>0</v>
      </c>
      <c r="D30" s="90">
        <v>0</v>
      </c>
      <c r="E30" s="90">
        <v>0</v>
      </c>
      <c r="F30" s="89">
        <f>SUM(B30:E30)</f>
        <v>1433241.35</v>
      </c>
      <c r="G30" s="81"/>
    </row>
    <row r="31" spans="1:6" s="79" customFormat="1" ht="15" customHeight="1" thickBot="1">
      <c r="A31" s="84" t="s">
        <v>70</v>
      </c>
      <c r="B31" s="88">
        <f>SUM(B29:B30)</f>
        <v>1433241.35</v>
      </c>
      <c r="C31" s="88">
        <f>SUM(C29:C30)</f>
        <v>15822</v>
      </c>
      <c r="D31" s="94">
        <f>SUM(D29:D30)</f>
        <v>0</v>
      </c>
      <c r="E31" s="94">
        <f>SUM(E29:E30)</f>
        <v>0</v>
      </c>
      <c r="F31" s="96">
        <f>SUM(F29:F30)</f>
        <v>1449063.35</v>
      </c>
    </row>
    <row r="32" spans="1:6" s="79" customFormat="1" ht="15" customHeight="1" thickTop="1">
      <c r="A32" s="84"/>
      <c r="B32" s="80"/>
      <c r="C32" s="80"/>
      <c r="D32" s="80"/>
      <c r="E32" s="89"/>
      <c r="F32" s="89"/>
    </row>
    <row r="33" spans="1:6" s="79" customFormat="1" ht="15" customHeight="1">
      <c r="A33" s="98" t="s">
        <v>82</v>
      </c>
      <c r="B33" s="101"/>
      <c r="C33" s="101"/>
      <c r="D33" s="101"/>
      <c r="E33" s="100"/>
      <c r="F33" s="89"/>
    </row>
    <row r="34" spans="1:7" s="79" customFormat="1" ht="15" customHeight="1">
      <c r="A34" s="84" t="s">
        <v>81</v>
      </c>
      <c r="B34" s="99">
        <f>'Earned Incurred YTD-6'!B49</f>
        <v>12234.230000000001</v>
      </c>
      <c r="C34" s="90">
        <v>0</v>
      </c>
      <c r="D34" s="90">
        <v>0</v>
      </c>
      <c r="E34" s="90">
        <v>0</v>
      </c>
      <c r="F34" s="89">
        <f>SUM(B34:E34)</f>
        <v>12234.230000000001</v>
      </c>
      <c r="G34" s="81"/>
    </row>
    <row r="35" spans="1:8" s="79" customFormat="1" ht="15" customHeight="1">
      <c r="A35" s="84" t="s">
        <v>80</v>
      </c>
      <c r="B35" s="90">
        <v>0</v>
      </c>
      <c r="C35" s="89">
        <v>1498439.1800000002</v>
      </c>
      <c r="D35" s="90">
        <v>0</v>
      </c>
      <c r="E35" s="90">
        <v>0</v>
      </c>
      <c r="F35" s="89">
        <f>SUM(B35:E35)</f>
        <v>1498439.1800000002</v>
      </c>
      <c r="G35" s="81"/>
      <c r="H35" s="81"/>
    </row>
    <row r="36" spans="1:8" s="79" customFormat="1" ht="15" customHeight="1">
      <c r="A36" s="84" t="s">
        <v>79</v>
      </c>
      <c r="B36" s="89">
        <f>'Income Statement-2'!D38</f>
        <v>22719.34</v>
      </c>
      <c r="C36" s="90">
        <v>0</v>
      </c>
      <c r="D36" s="90">
        <v>0</v>
      </c>
      <c r="E36" s="90">
        <v>0</v>
      </c>
      <c r="F36" s="89">
        <f>SUM(B36:E36)</f>
        <v>22719.34</v>
      </c>
      <c r="G36" s="81"/>
      <c r="H36" s="102"/>
    </row>
    <row r="37" spans="1:7" s="79" customFormat="1" ht="15" customHeight="1" thickBot="1">
      <c r="A37" s="84" t="s">
        <v>70</v>
      </c>
      <c r="B37" s="88">
        <f>SUM(B34:B36)-1</f>
        <v>34952.57</v>
      </c>
      <c r="C37" s="88">
        <f>SUM(C34:C36)</f>
        <v>1498439.1800000002</v>
      </c>
      <c r="D37" s="94">
        <f>SUM(D34:D36)</f>
        <v>0</v>
      </c>
      <c r="E37" s="94">
        <f>SUM(E34:E36)</f>
        <v>0</v>
      </c>
      <c r="F37" s="96">
        <f>SUM(F34:F36)-1</f>
        <v>1533391.7500000002</v>
      </c>
      <c r="G37" s="81"/>
    </row>
    <row r="38" spans="1:6" s="79" customFormat="1" ht="15" customHeight="1" thickTop="1">
      <c r="A38" s="84"/>
      <c r="B38" s="80"/>
      <c r="C38" s="80"/>
      <c r="D38" s="80"/>
      <c r="E38" s="89"/>
      <c r="F38" s="90"/>
    </row>
    <row r="39" spans="1:6" s="79" customFormat="1" ht="15" customHeight="1" thickBot="1">
      <c r="A39" s="98" t="s">
        <v>78</v>
      </c>
      <c r="B39" s="97">
        <f>B26-B31+B37+1</f>
        <v>1350245.9800000007</v>
      </c>
      <c r="C39" s="97">
        <f>C26-C31+C37-1</f>
        <v>-1609913.48</v>
      </c>
      <c r="D39" s="97">
        <f>D26-D31+D37</f>
        <v>-518217.41000000003</v>
      </c>
      <c r="E39" s="94">
        <f>E26-E31+E37</f>
        <v>0</v>
      </c>
      <c r="F39" s="96">
        <f>F26-F31+F37+1</f>
        <v>-777883.9099999995</v>
      </c>
    </row>
    <row r="40" spans="1:6" s="79" customFormat="1" ht="15" customHeight="1" thickTop="1">
      <c r="A40" s="84"/>
      <c r="B40" s="80"/>
      <c r="C40" s="80"/>
      <c r="D40" s="80"/>
      <c r="E40" s="89"/>
      <c r="F40" s="89"/>
    </row>
    <row r="41" spans="1:6" s="79" customFormat="1" ht="15" customHeight="1">
      <c r="A41" s="93" t="s">
        <v>77</v>
      </c>
      <c r="B41" s="92"/>
      <c r="C41" s="92"/>
      <c r="D41" s="92"/>
      <c r="E41" s="89"/>
      <c r="F41" s="89"/>
    </row>
    <row r="42" spans="1:6" s="79" customFormat="1" ht="15" customHeight="1">
      <c r="A42" s="84" t="s">
        <v>11</v>
      </c>
      <c r="B42" s="89">
        <f>'Premiums YTD-8'!B18</f>
        <v>4191711.73</v>
      </c>
      <c r="C42" s="89">
        <f>'Premiums YTD-8'!C18</f>
        <v>1392885.26</v>
      </c>
      <c r="D42" s="90">
        <f>'Premiums YTD-8'!D18</f>
        <v>0</v>
      </c>
      <c r="E42" s="90">
        <f>'Premiums YTD-8'!E18</f>
        <v>0</v>
      </c>
      <c r="F42" s="89">
        <f>SUM(B42:E42)</f>
        <v>5584596.99</v>
      </c>
    </row>
    <row r="43" spans="1:6" s="79" customFormat="1" ht="15" customHeight="1">
      <c r="A43" s="84" t="s">
        <v>74</v>
      </c>
      <c r="B43" s="89">
        <f>'Losses Incurred YTD-10'!B18+'Losses Incurred YTD-10'!B24</f>
        <v>753876.6</v>
      </c>
      <c r="C43" s="89">
        <f>'Losses Incurred YTD-10'!C18+'Losses Incurred YTD-10'!C24</f>
        <v>1445205.3900000001</v>
      </c>
      <c r="D43" s="89">
        <f>'Losses Incurred YTD-10'!D18+'Losses Incurred YTD-10'!D24</f>
        <v>98263.69</v>
      </c>
      <c r="E43" s="90">
        <f>'Losses Incurred YTD-10'!E18+'Losses Incurred YTD-10'!E24</f>
        <v>0</v>
      </c>
      <c r="F43" s="89">
        <f>SUM(B43:E43)</f>
        <v>2297345.68</v>
      </c>
    </row>
    <row r="44" spans="1:6" s="79" customFormat="1" ht="15" customHeight="1">
      <c r="A44" s="84" t="s">
        <v>76</v>
      </c>
      <c r="B44" s="89">
        <f>'Loss Expenses YTD-12'!B18</f>
        <v>93675.74</v>
      </c>
      <c r="C44" s="89">
        <f>'Loss Expenses YTD-12'!C18</f>
        <v>300271.07</v>
      </c>
      <c r="D44" s="89">
        <f>'Loss Expenses YTD-12'!D18</f>
        <v>56693.15</v>
      </c>
      <c r="E44" s="90">
        <f>'Loss Expenses YTD-12'!E18</f>
        <v>0</v>
      </c>
      <c r="F44" s="89">
        <f>SUM(B44:E44)</f>
        <v>450639.96</v>
      </c>
    </row>
    <row r="45" spans="1:6" s="79" customFormat="1" ht="15" customHeight="1">
      <c r="A45" s="84" t="s">
        <v>72</v>
      </c>
      <c r="B45" s="89">
        <f>'Earned Incurred YTD-6'!B41</f>
        <v>121784.53999999998</v>
      </c>
      <c r="C45" s="90">
        <v>0</v>
      </c>
      <c r="D45" s="90">
        <v>0</v>
      </c>
      <c r="E45" s="90">
        <v>0</v>
      </c>
      <c r="F45" s="89">
        <f>SUM(B45:E45)</f>
        <v>121784.53999999998</v>
      </c>
    </row>
    <row r="46" spans="1:6" s="79" customFormat="1" ht="15" customHeight="1">
      <c r="A46" s="84" t="s">
        <v>71</v>
      </c>
      <c r="B46" s="89">
        <f>'Earned Incurred YTD-6'!B33</f>
        <v>17294.58</v>
      </c>
      <c r="C46" s="90">
        <v>0</v>
      </c>
      <c r="D46" s="90">
        <v>0</v>
      </c>
      <c r="E46" s="90">
        <v>0</v>
      </c>
      <c r="F46" s="89">
        <f>SUM(B46:E46)</f>
        <v>17294.58</v>
      </c>
    </row>
    <row r="47" spans="1:7" s="79" customFormat="1" ht="15" customHeight="1" thickBot="1">
      <c r="A47" s="95" t="s">
        <v>70</v>
      </c>
      <c r="B47" s="88">
        <f>SUM(B42:B46)+2</f>
        <v>5178345.19</v>
      </c>
      <c r="C47" s="88">
        <f>SUM(C42:C46)-1</f>
        <v>3138360.72</v>
      </c>
      <c r="D47" s="88">
        <f>SUM(D42:D46)</f>
        <v>154956.84</v>
      </c>
      <c r="E47" s="94">
        <f>SUM(E42:E46)</f>
        <v>0</v>
      </c>
      <c r="F47" s="87">
        <f>SUM(F42:F46)+1</f>
        <v>8471662.75</v>
      </c>
      <c r="G47" s="81"/>
    </row>
    <row r="48" spans="1:6" s="79" customFormat="1" ht="15" customHeight="1" thickTop="1">
      <c r="A48" s="84"/>
      <c r="B48" s="80"/>
      <c r="C48" s="80"/>
      <c r="D48" s="80"/>
      <c r="E48" s="89"/>
      <c r="F48" s="89"/>
    </row>
    <row r="49" spans="1:6" s="79" customFormat="1" ht="15" customHeight="1">
      <c r="A49" s="93" t="s">
        <v>75</v>
      </c>
      <c r="B49" s="92"/>
      <c r="C49" s="92"/>
      <c r="D49" s="92"/>
      <c r="E49" s="89"/>
      <c r="F49" s="89"/>
    </row>
    <row r="50" spans="1:7" s="79" customFormat="1" ht="15" customHeight="1">
      <c r="A50" s="84" t="s">
        <v>11</v>
      </c>
      <c r="B50" s="90">
        <f>'Premiums YTD-8'!B24</f>
        <v>0</v>
      </c>
      <c r="C50" s="89">
        <f>'Premiums YTD-8'!C24</f>
        <v>5718238.84</v>
      </c>
      <c r="D50" s="90">
        <f>'Premiums YTD-8'!D24</f>
        <v>0</v>
      </c>
      <c r="E50" s="90">
        <f>'Premiums YTD-8'!E24</f>
        <v>0</v>
      </c>
      <c r="F50" s="89">
        <f>SUM(B50:E50)</f>
        <v>5718238.84</v>
      </c>
      <c r="G50" s="91"/>
    </row>
    <row r="51" spans="1:7" s="79" customFormat="1" ht="15" customHeight="1">
      <c r="A51" s="84" t="s">
        <v>74</v>
      </c>
      <c r="B51" s="90">
        <f>'Losses Incurred YTD-10'!B31</f>
        <v>0</v>
      </c>
      <c r="C51" s="89">
        <f>'Losses Incurred YTD-10'!C31</f>
        <v>1890907.27</v>
      </c>
      <c r="D51" s="89">
        <f>'Losses Incurred YTD-10'!D31</f>
        <v>785640.52</v>
      </c>
      <c r="E51" s="89">
        <f>'Losses Incurred YTD-10'!E31</f>
        <v>208000</v>
      </c>
      <c r="F51" s="89">
        <f>SUM(B51:E51)</f>
        <v>2884547.79</v>
      </c>
      <c r="G51" s="81"/>
    </row>
    <row r="52" spans="1:7" s="79" customFormat="1" ht="15" customHeight="1">
      <c r="A52" s="84" t="s">
        <v>73</v>
      </c>
      <c r="B52" s="90">
        <f>'Loss Expenses YTD-12'!B24</f>
        <v>0</v>
      </c>
      <c r="C52" s="89">
        <f>'Loss Expenses YTD-12'!C24</f>
        <v>323366.19999999995</v>
      </c>
      <c r="D52" s="89">
        <f>'Loss Expenses YTD-12'!D24</f>
        <v>130388.31</v>
      </c>
      <c r="E52" s="89">
        <f>'Loss Expenses YTD-12'!E24</f>
        <v>38753.63</v>
      </c>
      <c r="F52" s="89">
        <f>SUM(B52:E52)</f>
        <v>492508.13999999996</v>
      </c>
      <c r="G52" s="81"/>
    </row>
    <row r="53" spans="1:9" s="79" customFormat="1" ht="15" customHeight="1">
      <c r="A53" s="84" t="s">
        <v>72</v>
      </c>
      <c r="B53" s="90">
        <v>0</v>
      </c>
      <c r="C53" s="89">
        <f>'Earned Incurred YTD-6'!B42</f>
        <v>211065</v>
      </c>
      <c r="D53" s="90">
        <v>0</v>
      </c>
      <c r="E53" s="90">
        <v>0</v>
      </c>
      <c r="F53" s="89">
        <f>SUM(B53:E53)</f>
        <v>211065</v>
      </c>
      <c r="G53" s="81"/>
      <c r="H53" s="81"/>
      <c r="I53" s="81"/>
    </row>
    <row r="54" spans="1:7" s="79" customFormat="1" ht="15" customHeight="1">
      <c r="A54" s="84" t="s">
        <v>71</v>
      </c>
      <c r="B54" s="90">
        <v>0</v>
      </c>
      <c r="C54" s="89">
        <f>'Earned Incurred YTD-6'!B34</f>
        <v>41163.77</v>
      </c>
      <c r="D54" s="90">
        <v>0</v>
      </c>
      <c r="E54" s="90">
        <v>0</v>
      </c>
      <c r="F54" s="89">
        <f>SUM(B54:E54)</f>
        <v>41163.77</v>
      </c>
      <c r="G54" s="81"/>
    </row>
    <row r="55" spans="1:6" s="79" customFormat="1" ht="15" customHeight="1" thickBot="1">
      <c r="A55" s="84" t="s">
        <v>70</v>
      </c>
      <c r="B55" s="94">
        <f>SUM(B50:B54)</f>
        <v>0</v>
      </c>
      <c r="C55" s="88">
        <f>SUM(C50:C54)</f>
        <v>8184741.079999999</v>
      </c>
      <c r="D55" s="88">
        <f>SUM(D50:D54)</f>
        <v>916028.8300000001</v>
      </c>
      <c r="E55" s="88">
        <f>SUM(E50:E54)</f>
        <v>246753.63</v>
      </c>
      <c r="F55" s="87">
        <f>SUM(F50:F54)</f>
        <v>9347523.54</v>
      </c>
    </row>
    <row r="56" spans="1:6" s="79" customFormat="1" ht="15" customHeight="1" thickTop="1">
      <c r="A56" s="84"/>
      <c r="B56" s="80"/>
      <c r="C56" s="80"/>
      <c r="D56" s="80"/>
      <c r="E56" s="80"/>
      <c r="F56" s="30"/>
    </row>
    <row r="57" spans="1:7" s="79" customFormat="1" ht="15" customHeight="1" thickBot="1">
      <c r="A57" s="86" t="s">
        <v>69</v>
      </c>
      <c r="B57" s="85">
        <f>B39-B47+B55</f>
        <v>-3828099.21</v>
      </c>
      <c r="C57" s="85">
        <f>C39-C47+C55</f>
        <v>3436466.879999999</v>
      </c>
      <c r="D57" s="85">
        <f>D39-D47+D55</f>
        <v>242854.58000000007</v>
      </c>
      <c r="E57" s="85">
        <f>E39-E47+E55</f>
        <v>246753.63</v>
      </c>
      <c r="F57" s="85">
        <f>F39-F47+F55-1</f>
        <v>97975.87999999896</v>
      </c>
      <c r="G57" s="81"/>
    </row>
    <row r="58" spans="1:6" s="79" customFormat="1" ht="15" customHeight="1" thickTop="1">
      <c r="A58" s="84"/>
      <c r="B58" s="81"/>
      <c r="C58" s="81"/>
      <c r="D58" s="80"/>
      <c r="E58" s="80"/>
      <c r="F58" s="80"/>
    </row>
    <row r="59" spans="2:6" s="79" customFormat="1" ht="15" customHeight="1">
      <c r="B59" s="81"/>
      <c r="C59" s="81"/>
      <c r="D59" s="80"/>
      <c r="E59" s="80"/>
      <c r="F59" s="80"/>
    </row>
    <row r="60" spans="2:6" s="79" customFormat="1" ht="15" customHeight="1">
      <c r="B60" s="81"/>
      <c r="C60" s="81"/>
      <c r="D60" s="80"/>
      <c r="E60" s="80"/>
      <c r="F60" s="80"/>
    </row>
    <row r="61" spans="2:6" s="79" customFormat="1" ht="15" customHeight="1">
      <c r="B61" s="81"/>
      <c r="C61" s="81"/>
      <c r="D61" s="80"/>
      <c r="E61" s="80"/>
      <c r="F61" s="80"/>
    </row>
    <row r="62" spans="1:6" s="79" customFormat="1" ht="15" customHeight="1">
      <c r="A62" s="83"/>
      <c r="B62" s="82"/>
      <c r="C62" s="82"/>
      <c r="D62" s="80"/>
      <c r="E62" s="80"/>
      <c r="F62" s="80"/>
    </row>
    <row r="63" spans="2:6" s="79" customFormat="1" ht="15" customHeight="1">
      <c r="B63" s="81"/>
      <c r="C63" s="81"/>
      <c r="D63" s="80"/>
      <c r="E63" s="80"/>
      <c r="F63" s="30"/>
    </row>
    <row r="64" spans="2:6" s="79" customFormat="1" ht="15" customHeight="1">
      <c r="B64" s="81"/>
      <c r="C64" s="81"/>
      <c r="D64" s="80"/>
      <c r="E64" s="80"/>
      <c r="F64" s="30"/>
    </row>
    <row r="65" spans="2:6" s="79" customFormat="1" ht="15" customHeight="1">
      <c r="B65" s="81"/>
      <c r="C65" s="81"/>
      <c r="D65" s="80"/>
      <c r="E65" s="80"/>
      <c r="F65" s="30"/>
    </row>
    <row r="66" spans="2:6" s="79" customFormat="1" ht="15" customHeight="1">
      <c r="B66" s="81"/>
      <c r="C66" s="81"/>
      <c r="D66" s="80"/>
      <c r="E66" s="80"/>
      <c r="F66" s="30"/>
    </row>
    <row r="67" spans="2:6" s="79" customFormat="1" ht="15" customHeight="1">
      <c r="B67" s="81"/>
      <c r="C67" s="81"/>
      <c r="D67" s="80"/>
      <c r="E67" s="80"/>
      <c r="F67" s="30"/>
    </row>
    <row r="68" spans="2:6" s="79" customFormat="1" ht="15" customHeight="1">
      <c r="B68" s="81"/>
      <c r="C68" s="81"/>
      <c r="D68" s="80"/>
      <c r="E68" s="80"/>
      <c r="F68" s="30"/>
    </row>
    <row r="69" spans="2:6" s="79" customFormat="1" ht="15" customHeight="1">
      <c r="B69" s="81"/>
      <c r="C69" s="81"/>
      <c r="D69" s="80"/>
      <c r="E69" s="80"/>
      <c r="F69" s="30"/>
    </row>
    <row r="70" spans="2:6" s="79" customFormat="1" ht="15" customHeight="1">
      <c r="B70" s="81"/>
      <c r="C70" s="81"/>
      <c r="D70" s="80"/>
      <c r="E70" s="80"/>
      <c r="F70" s="30"/>
    </row>
    <row r="71" spans="2:6" s="79" customFormat="1" ht="15" customHeight="1">
      <c r="B71" s="81"/>
      <c r="C71" s="81"/>
      <c r="D71" s="80"/>
      <c r="E71" s="80"/>
      <c r="F71" s="30"/>
    </row>
    <row r="72" spans="2:6" s="79" customFormat="1" ht="15" customHeight="1">
      <c r="B72" s="81"/>
      <c r="C72" s="81"/>
      <c r="D72" s="80"/>
      <c r="E72" s="80"/>
      <c r="F72" s="30"/>
    </row>
    <row r="73" spans="2:6" s="79" customFormat="1" ht="15" customHeight="1">
      <c r="B73" s="81"/>
      <c r="C73" s="81"/>
      <c r="D73" s="80"/>
      <c r="E73" s="80"/>
      <c r="F73" s="30"/>
    </row>
    <row r="74" spans="2:6" s="79" customFormat="1" ht="15" customHeight="1">
      <c r="B74" s="81"/>
      <c r="C74" s="81"/>
      <c r="D74" s="80"/>
      <c r="E74" s="80"/>
      <c r="F74" s="30"/>
    </row>
    <row r="75" spans="2:6" s="79" customFormat="1" ht="15" customHeight="1">
      <c r="B75" s="81"/>
      <c r="C75" s="81"/>
      <c r="D75" s="80"/>
      <c r="E75" s="80"/>
      <c r="F75" s="30"/>
    </row>
    <row r="76" spans="2:6" s="79" customFormat="1" ht="15" customHeight="1">
      <c r="B76" s="81"/>
      <c r="C76" s="81"/>
      <c r="D76" s="80"/>
      <c r="E76" s="80"/>
      <c r="F76" s="30"/>
    </row>
    <row r="77" spans="2:6" s="79" customFormat="1" ht="15" customHeight="1">
      <c r="B77" s="81"/>
      <c r="C77" s="81"/>
      <c r="D77" s="80"/>
      <c r="E77" s="80"/>
      <c r="F77" s="30"/>
    </row>
    <row r="78" spans="2:6" s="79" customFormat="1" ht="15" customHeight="1">
      <c r="B78" s="81"/>
      <c r="C78" s="81"/>
      <c r="D78" s="80"/>
      <c r="E78" s="80"/>
      <c r="F78" s="30"/>
    </row>
    <row r="79" spans="2:6" s="79" customFormat="1" ht="15" customHeight="1">
      <c r="B79" s="81"/>
      <c r="C79" s="81"/>
      <c r="D79" s="80"/>
      <c r="E79" s="80"/>
      <c r="F79" s="30"/>
    </row>
    <row r="80" spans="2:6" s="79" customFormat="1" ht="15" customHeight="1">
      <c r="B80" s="81"/>
      <c r="C80" s="81"/>
      <c r="D80" s="80"/>
      <c r="E80" s="80"/>
      <c r="F80" s="30"/>
    </row>
    <row r="81" spans="2:6" s="79" customFormat="1" ht="15" customHeight="1">
      <c r="B81" s="81"/>
      <c r="C81" s="81"/>
      <c r="D81" s="80"/>
      <c r="E81" s="80"/>
      <c r="F81" s="30"/>
    </row>
    <row r="82" spans="2:6" s="79" customFormat="1" ht="15" customHeight="1">
      <c r="B82" s="81"/>
      <c r="C82" s="81"/>
      <c r="D82" s="80"/>
      <c r="E82" s="80"/>
      <c r="F82" s="30"/>
    </row>
    <row r="83" spans="2:6" s="79" customFormat="1" ht="15" customHeight="1">
      <c r="B83" s="81"/>
      <c r="C83" s="81"/>
      <c r="D83" s="80"/>
      <c r="E83" s="80"/>
      <c r="F83" s="30"/>
    </row>
    <row r="84" spans="2:6" s="79" customFormat="1" ht="15" customHeight="1">
      <c r="B84" s="81"/>
      <c r="C84" s="81"/>
      <c r="D84" s="80"/>
      <c r="E84" s="80"/>
      <c r="F84" s="30"/>
    </row>
    <row r="85" spans="2:6" s="79" customFormat="1" ht="15" customHeight="1">
      <c r="B85" s="81"/>
      <c r="C85" s="81"/>
      <c r="D85" s="80"/>
      <c r="E85" s="80"/>
      <c r="F85" s="30"/>
    </row>
    <row r="86" spans="2:6" s="79" customFormat="1" ht="15" customHeight="1">
      <c r="B86" s="81"/>
      <c r="C86" s="81"/>
      <c r="D86" s="80"/>
      <c r="E86" s="80"/>
      <c r="F86" s="30"/>
    </row>
    <row r="87" spans="2:6" s="79" customFormat="1" ht="15" customHeight="1">
      <c r="B87" s="81"/>
      <c r="C87" s="81"/>
      <c r="D87" s="80"/>
      <c r="E87" s="80"/>
      <c r="F87" s="30"/>
    </row>
    <row r="88" spans="2:6" s="79" customFormat="1" ht="15" customHeight="1">
      <c r="B88" s="81"/>
      <c r="C88" s="81"/>
      <c r="D88" s="80"/>
      <c r="E88" s="80"/>
      <c r="F88" s="30"/>
    </row>
    <row r="89" spans="2:6" s="79" customFormat="1" ht="15" customHeight="1">
      <c r="B89" s="81"/>
      <c r="C89" s="81"/>
      <c r="D89" s="80"/>
      <c r="E89" s="80"/>
      <c r="F89" s="30"/>
    </row>
  </sheetData>
  <sheetProtection/>
  <mergeCells count="4">
    <mergeCell ref="A1:F1"/>
    <mergeCell ref="A2:F2"/>
    <mergeCell ref="A3:F3"/>
    <mergeCell ref="A4:F4"/>
  </mergeCells>
  <printOptions horizontalCentered="1"/>
  <pageMargins left="0.25" right="0.25" top="0.5" bottom="0.5" header="0.25" footer="0.25"/>
  <pageSetup horizontalDpi="300" verticalDpi="300" orientation="portrait" scale="70" r:id="rId1"/>
  <headerFooter alignWithMargins="0">
    <oddFooter>&amp;CPage 4
</oddFooter>
  </headerFooter>
</worksheet>
</file>

<file path=xl/worksheets/sheet5.xml><?xml version="1.0" encoding="utf-8"?>
<worksheet xmlns="http://schemas.openxmlformats.org/spreadsheetml/2006/main" xmlns:r="http://schemas.openxmlformats.org/officeDocument/2006/relationships">
  <dimension ref="A1:G161"/>
  <sheetViews>
    <sheetView zoomScalePageLayoutView="0" workbookViewId="0" topLeftCell="A1">
      <selection activeCell="A1" sqref="A1:D1"/>
    </sheetView>
  </sheetViews>
  <sheetFormatPr defaultColWidth="15.7109375" defaultRowHeight="15" customHeight="1"/>
  <cols>
    <col min="1" max="1" width="60.7109375" style="70" customWidth="1"/>
    <col min="2" max="4" width="18.7109375" style="128" customWidth="1"/>
    <col min="5" max="5" width="15.7109375" style="127" customWidth="1"/>
    <col min="6" max="16384" width="15.7109375" style="70" customWidth="1"/>
  </cols>
  <sheetData>
    <row r="1" spans="1:5" s="167" customFormat="1" ht="30" customHeight="1">
      <c r="A1" s="306" t="s">
        <v>38</v>
      </c>
      <c r="B1" s="307"/>
      <c r="C1" s="307"/>
      <c r="D1" s="308"/>
      <c r="E1" s="168"/>
    </row>
    <row r="2" spans="1:5" s="164" customFormat="1" ht="15" customHeight="1">
      <c r="A2" s="309"/>
      <c r="B2" s="310"/>
      <c r="C2" s="310"/>
      <c r="D2" s="311"/>
      <c r="E2" s="165"/>
    </row>
    <row r="3" spans="1:5" s="164" customFormat="1" ht="15" customHeight="1">
      <c r="A3" s="303" t="s">
        <v>157</v>
      </c>
      <c r="B3" s="304"/>
      <c r="C3" s="304"/>
      <c r="D3" s="305"/>
      <c r="E3" s="165"/>
    </row>
    <row r="4" spans="1:5" s="164" customFormat="1" ht="15" customHeight="1">
      <c r="A4" s="303" t="s">
        <v>156</v>
      </c>
      <c r="B4" s="304"/>
      <c r="C4" s="304"/>
      <c r="D4" s="305"/>
      <c r="E4" s="165"/>
    </row>
    <row r="5" spans="1:5" s="164" customFormat="1" ht="15" customHeight="1">
      <c r="A5" s="303" t="s">
        <v>155</v>
      </c>
      <c r="B5" s="304"/>
      <c r="C5" s="304"/>
      <c r="D5" s="305"/>
      <c r="E5" s="165"/>
    </row>
    <row r="6" spans="1:5" s="164" customFormat="1" ht="15" customHeight="1">
      <c r="A6" s="166"/>
      <c r="B6" s="162"/>
      <c r="C6" s="162"/>
      <c r="D6" s="161"/>
      <c r="E6" s="165"/>
    </row>
    <row r="7" spans="1:5" s="46" customFormat="1" ht="15" customHeight="1">
      <c r="A7" s="163"/>
      <c r="B7" s="162"/>
      <c r="C7" s="162"/>
      <c r="D7" s="161"/>
      <c r="E7" s="47"/>
    </row>
    <row r="8" spans="1:5" s="46" customFormat="1" ht="15" customHeight="1">
      <c r="A8" s="160" t="s">
        <v>154</v>
      </c>
      <c r="B8" s="323" t="s">
        <v>153</v>
      </c>
      <c r="C8" s="324"/>
      <c r="D8" s="325"/>
      <c r="E8" s="47"/>
    </row>
    <row r="9" spans="1:5" s="46" customFormat="1" ht="15" customHeight="1">
      <c r="A9" s="160"/>
      <c r="B9" s="326" t="s">
        <v>66</v>
      </c>
      <c r="C9" s="327"/>
      <c r="D9" s="328"/>
      <c r="E9" s="47"/>
    </row>
    <row r="10" spans="1:5" s="46" customFormat="1" ht="15" customHeight="1">
      <c r="A10" s="159"/>
      <c r="B10" s="158" t="s">
        <v>39</v>
      </c>
      <c r="C10" s="157"/>
      <c r="D10" s="149"/>
      <c r="E10" s="47"/>
    </row>
    <row r="11" spans="1:5" s="46" customFormat="1" ht="15" customHeight="1">
      <c r="A11" s="147" t="s">
        <v>152</v>
      </c>
      <c r="B11" s="144"/>
      <c r="C11" s="15">
        <f>'Premiums QTD-7'!F12</f>
        <v>2861012</v>
      </c>
      <c r="D11" s="149"/>
      <c r="E11" s="47"/>
    </row>
    <row r="12" spans="1:5" s="46" customFormat="1" ht="15" customHeight="1">
      <c r="A12" s="147"/>
      <c r="B12" s="144"/>
      <c r="C12" s="30"/>
      <c r="D12" s="149"/>
      <c r="E12" s="47"/>
    </row>
    <row r="13" spans="1:5" s="46" customFormat="1" ht="15" customHeight="1">
      <c r="A13" s="145" t="s">
        <v>151</v>
      </c>
      <c r="B13" s="144">
        <f>'Premiums QTD-7'!F18</f>
        <v>5584596.99</v>
      </c>
      <c r="C13" s="28"/>
      <c r="D13" s="149"/>
      <c r="E13" s="47"/>
    </row>
    <row r="14" spans="1:5" s="46" customFormat="1" ht="15" customHeight="1">
      <c r="A14" s="145" t="s">
        <v>150</v>
      </c>
      <c r="B14" s="141">
        <f>'Premiums QTD-7'!F24</f>
        <v>5512522.51</v>
      </c>
      <c r="C14" s="28"/>
      <c r="D14" s="149"/>
      <c r="E14" s="47"/>
    </row>
    <row r="15" spans="1:5" s="46" customFormat="1" ht="15" customHeight="1">
      <c r="A15" s="145" t="s">
        <v>149</v>
      </c>
      <c r="B15" s="144"/>
      <c r="C15" s="150">
        <f>B14-B13</f>
        <v>-72074.48000000045</v>
      </c>
      <c r="D15" s="149"/>
      <c r="E15" s="47"/>
    </row>
    <row r="16" spans="1:5" s="46" customFormat="1" ht="15" customHeight="1">
      <c r="A16" s="147" t="s">
        <v>148</v>
      </c>
      <c r="B16" s="144"/>
      <c r="C16" s="28"/>
      <c r="D16" s="156">
        <f>C11+C15</f>
        <v>2788937.5199999996</v>
      </c>
      <c r="E16" s="47"/>
    </row>
    <row r="17" spans="1:4" s="46" customFormat="1" ht="15" customHeight="1">
      <c r="A17" s="145" t="s">
        <v>147</v>
      </c>
      <c r="B17" s="144"/>
      <c r="C17" s="28">
        <f>'[1]Loss Expenses Paid QTD-15'!E36</f>
        <v>1566901.76</v>
      </c>
      <c r="D17" s="149"/>
    </row>
    <row r="18" spans="1:4" s="46" customFormat="1" ht="15" customHeight="1">
      <c r="A18" s="145" t="s">
        <v>146</v>
      </c>
      <c r="B18" s="144"/>
      <c r="C18" s="140">
        <f>-'[1]Trial Balance'!D304+2</f>
        <v>70212.68</v>
      </c>
      <c r="D18" s="149"/>
    </row>
    <row r="19" spans="1:5" s="46" customFormat="1" ht="15" customHeight="1">
      <c r="A19" s="147" t="s">
        <v>145</v>
      </c>
      <c r="B19" s="144"/>
      <c r="C19" s="28">
        <f>C17-C18</f>
        <v>1496689.08</v>
      </c>
      <c r="D19" s="149"/>
      <c r="E19" s="47"/>
    </row>
    <row r="20" spans="1:5" s="46" customFormat="1" ht="15" customHeight="1">
      <c r="A20" s="145" t="s">
        <v>144</v>
      </c>
      <c r="B20" s="144">
        <f>'Losses Incurred QTD-9'!F18+'Losses Incurred QTD-9'!F24</f>
        <v>2297345.68</v>
      </c>
      <c r="C20" s="28" t="s">
        <v>39</v>
      </c>
      <c r="D20" s="149"/>
      <c r="E20" s="47"/>
    </row>
    <row r="21" spans="1:5" s="46" customFormat="1" ht="15" customHeight="1">
      <c r="A21" s="145" t="s">
        <v>143</v>
      </c>
      <c r="B21" s="141">
        <f>'Losses Incurred QTD-9'!F31</f>
        <v>2089335.3700000003</v>
      </c>
      <c r="C21" s="28"/>
      <c r="D21" s="149"/>
      <c r="E21" s="47"/>
    </row>
    <row r="22" spans="1:5" s="46" customFormat="1" ht="15" customHeight="1">
      <c r="A22" s="145" t="s">
        <v>142</v>
      </c>
      <c r="B22" s="155"/>
      <c r="C22" s="150">
        <f>B20-B21+1</f>
        <v>208011.30999999982</v>
      </c>
      <c r="D22" s="149"/>
      <c r="E22" s="47"/>
    </row>
    <row r="23" spans="1:6" s="46" customFormat="1" ht="15" customHeight="1">
      <c r="A23" s="147" t="s">
        <v>141</v>
      </c>
      <c r="B23" s="144"/>
      <c r="C23" s="28"/>
      <c r="D23" s="149">
        <f>C19+C22</f>
        <v>1704700.39</v>
      </c>
      <c r="E23" s="28"/>
      <c r="F23" s="54"/>
    </row>
    <row r="24" spans="1:5" s="46" customFormat="1" ht="15" customHeight="1">
      <c r="A24" s="145" t="s">
        <v>140</v>
      </c>
      <c r="B24" s="144"/>
      <c r="C24" s="28">
        <f>'[1]Loss Expenses Paid QTD-15'!C36</f>
        <v>161929.59999999998</v>
      </c>
      <c r="D24" s="149"/>
      <c r="E24" s="154"/>
    </row>
    <row r="25" spans="1:5" s="46" customFormat="1" ht="15" customHeight="1">
      <c r="A25" s="145" t="s">
        <v>139</v>
      </c>
      <c r="B25" s="144"/>
      <c r="C25" s="140">
        <f>'[1]Loss Expenses Paid QTD-15'!I36</f>
        <v>127439.71999999999</v>
      </c>
      <c r="D25" s="149"/>
      <c r="E25" s="154"/>
    </row>
    <row r="26" spans="1:5" s="46" customFormat="1" ht="15" customHeight="1">
      <c r="A26" s="147" t="s">
        <v>138</v>
      </c>
      <c r="B26" s="144"/>
      <c r="C26" s="28">
        <f>C24+C25+1</f>
        <v>289370.31999999995</v>
      </c>
      <c r="D26" s="149"/>
      <c r="E26" s="28"/>
    </row>
    <row r="27" spans="1:5" s="46" customFormat="1" ht="15" customHeight="1">
      <c r="A27" s="145" t="s">
        <v>137</v>
      </c>
      <c r="B27" s="144">
        <f>'Loss Expenses QTD-11'!F18</f>
        <v>450639.96</v>
      </c>
      <c r="C27" s="28"/>
      <c r="D27" s="149"/>
      <c r="E27" s="154"/>
    </row>
    <row r="28" spans="1:5" s="46" customFormat="1" ht="15" customHeight="1">
      <c r="A28" s="145" t="s">
        <v>136</v>
      </c>
      <c r="B28" s="141">
        <f>'Loss Expenses QTD-11'!F24</f>
        <v>546668.6799999999</v>
      </c>
      <c r="C28" s="28"/>
      <c r="D28" s="149"/>
      <c r="E28" s="28"/>
    </row>
    <row r="29" spans="1:7" s="46" customFormat="1" ht="15" customHeight="1">
      <c r="A29" s="145" t="s">
        <v>135</v>
      </c>
      <c r="B29" s="144"/>
      <c r="C29" s="150">
        <f>B27-B28</f>
        <v>-96028.71999999991</v>
      </c>
      <c r="D29" s="149"/>
      <c r="E29" s="154"/>
      <c r="G29" s="54"/>
    </row>
    <row r="30" spans="1:6" s="46" customFormat="1" ht="15" customHeight="1">
      <c r="A30" s="147" t="s">
        <v>134</v>
      </c>
      <c r="B30" s="144"/>
      <c r="C30" s="28"/>
      <c r="D30" s="146">
        <f>C26+C29-1</f>
        <v>193340.60000000003</v>
      </c>
      <c r="E30" s="28"/>
      <c r="F30" s="54"/>
    </row>
    <row r="31" spans="1:6" s="46" customFormat="1" ht="15" customHeight="1">
      <c r="A31" s="147" t="s">
        <v>133</v>
      </c>
      <c r="B31" s="144"/>
      <c r="C31" s="28"/>
      <c r="D31" s="151">
        <f>D23+D30</f>
        <v>1898040.99</v>
      </c>
      <c r="E31" s="28"/>
      <c r="F31" s="54"/>
    </row>
    <row r="32" spans="1:6" s="46" customFormat="1" ht="15" customHeight="1">
      <c r="A32" s="145" t="s">
        <v>132</v>
      </c>
      <c r="B32" s="144"/>
      <c r="C32" s="28">
        <f>11894.73+22800</f>
        <v>34694.729999999996</v>
      </c>
      <c r="D32" s="149"/>
      <c r="E32" s="154"/>
      <c r="F32" s="54"/>
    </row>
    <row r="33" spans="1:7" s="46" customFormat="1" ht="15" customHeight="1">
      <c r="A33" s="145" t="s">
        <v>125</v>
      </c>
      <c r="B33" s="144">
        <f>-'[1]Trial Balance'!F140</f>
        <v>17294.58</v>
      </c>
      <c r="C33" s="28"/>
      <c r="D33" s="149"/>
      <c r="E33" s="47"/>
      <c r="G33" s="54"/>
    </row>
    <row r="34" spans="1:7" s="46" customFormat="1" ht="15" customHeight="1">
      <c r="A34" s="145" t="s">
        <v>124</v>
      </c>
      <c r="B34" s="141">
        <v>38779.14</v>
      </c>
      <c r="C34" s="28"/>
      <c r="D34" s="149"/>
      <c r="E34" s="47"/>
      <c r="G34" s="54"/>
    </row>
    <row r="35" spans="1:5" s="46" customFormat="1" ht="15" customHeight="1">
      <c r="A35" s="145" t="s">
        <v>131</v>
      </c>
      <c r="B35" s="144"/>
      <c r="C35" s="150">
        <f>B33-B34+1</f>
        <v>-21483.559999999998</v>
      </c>
      <c r="D35" s="149"/>
      <c r="E35" s="47"/>
    </row>
    <row r="36" spans="1:6" s="46" customFormat="1" ht="15" customHeight="1">
      <c r="A36" s="147" t="s">
        <v>130</v>
      </c>
      <c r="B36" s="144"/>
      <c r="C36" s="28" t="s">
        <v>39</v>
      </c>
      <c r="D36" s="149">
        <f>C32+C35</f>
        <v>13211.169999999998</v>
      </c>
      <c r="E36" s="47"/>
      <c r="F36" s="54"/>
    </row>
    <row r="37" spans="1:5" s="46" customFormat="1" ht="15" customHeight="1">
      <c r="A37" s="145" t="s">
        <v>129</v>
      </c>
      <c r="B37" s="144"/>
      <c r="C37" s="28">
        <f>'[1]Trial Balance'!D414</f>
        <v>253264.8</v>
      </c>
      <c r="D37" s="149"/>
      <c r="E37" s="47"/>
    </row>
    <row r="38" spans="1:5" s="46" customFormat="1" ht="15" customHeight="1">
      <c r="A38" s="145" t="s">
        <v>128</v>
      </c>
      <c r="B38" s="144"/>
      <c r="C38" s="28">
        <f>'[1]Trial Balance'!D425</f>
        <v>28215.199999999997</v>
      </c>
      <c r="D38" s="149"/>
      <c r="E38" s="153"/>
    </row>
    <row r="39" spans="1:6" s="46" customFormat="1" ht="15" customHeight="1">
      <c r="A39" s="145" t="s">
        <v>127</v>
      </c>
      <c r="B39" s="144"/>
      <c r="C39" s="140">
        <f>'[1]Trial Balance'!D666-C43+2</f>
        <v>901735.9399999997</v>
      </c>
      <c r="D39" s="149"/>
      <c r="E39" s="153"/>
      <c r="F39" s="47"/>
    </row>
    <row r="40" spans="1:6" s="46" customFormat="1" ht="15" customHeight="1">
      <c r="A40" s="147" t="s">
        <v>126</v>
      </c>
      <c r="B40" s="144"/>
      <c r="C40" s="28">
        <f>SUM(C37:C39)</f>
        <v>1183215.9399999997</v>
      </c>
      <c r="D40" s="149"/>
      <c r="E40" s="153"/>
      <c r="F40" s="47"/>
    </row>
    <row r="41" spans="1:5" s="46" customFormat="1" ht="15" customHeight="1">
      <c r="A41" s="145" t="s">
        <v>125</v>
      </c>
      <c r="B41" s="144">
        <f>-'[1]Trial Balance'!F155</f>
        <v>121784.53999999998</v>
      </c>
      <c r="C41" s="28"/>
      <c r="D41" s="149"/>
      <c r="E41" s="153"/>
    </row>
    <row r="42" spans="1:5" s="46" customFormat="1" ht="15" customHeight="1">
      <c r="A42" s="145" t="s">
        <v>124</v>
      </c>
      <c r="B42" s="141">
        <v>150500.14</v>
      </c>
      <c r="C42" s="28" t="s">
        <v>39</v>
      </c>
      <c r="D42" s="149"/>
      <c r="E42" s="47"/>
    </row>
    <row r="43" spans="1:5" s="46" customFormat="1" ht="15" customHeight="1">
      <c r="A43" s="145" t="s">
        <v>123</v>
      </c>
      <c r="B43" s="144"/>
      <c r="C43" s="150">
        <f>+B41-B42+1</f>
        <v>-28714.600000000035</v>
      </c>
      <c r="D43" s="149"/>
      <c r="E43" s="47"/>
    </row>
    <row r="44" spans="1:6" s="46" customFormat="1" ht="15" customHeight="1">
      <c r="A44" s="147" t="s">
        <v>122</v>
      </c>
      <c r="B44" s="144"/>
      <c r="C44" s="28"/>
      <c r="D44" s="146">
        <f>SUM(C40:C43)</f>
        <v>1154501.3399999996</v>
      </c>
      <c r="E44" s="47"/>
      <c r="F44" s="47"/>
    </row>
    <row r="45" spans="1:6" s="46" customFormat="1" ht="15" customHeight="1">
      <c r="A45" s="147" t="s">
        <v>121</v>
      </c>
      <c r="B45" s="144"/>
      <c r="C45" s="28"/>
      <c r="D45" s="143">
        <f>SUM(D36:D44)-1</f>
        <v>1167711.5099999995</v>
      </c>
      <c r="E45" s="47"/>
      <c r="F45" s="152"/>
    </row>
    <row r="46" spans="1:6" s="46" customFormat="1" ht="15" customHeight="1">
      <c r="A46" s="147" t="s">
        <v>120</v>
      </c>
      <c r="B46" s="144"/>
      <c r="C46" s="28"/>
      <c r="D46" s="139">
        <f>+D31+D45</f>
        <v>3065752.4999999995</v>
      </c>
      <c r="E46" s="47"/>
      <c r="F46" s="152"/>
    </row>
    <row r="47" spans="1:6" s="46" customFormat="1" ht="15" customHeight="1">
      <c r="A47" s="147" t="s">
        <v>119</v>
      </c>
      <c r="B47" s="144"/>
      <c r="C47" s="28"/>
      <c r="D47" s="151">
        <f>D16-D31-D45</f>
        <v>-276814.98</v>
      </c>
      <c r="E47" s="138"/>
      <c r="F47" s="47"/>
    </row>
    <row r="48" spans="1:6" s="46" customFormat="1" ht="15" customHeight="1">
      <c r="A48" s="145" t="s">
        <v>118</v>
      </c>
      <c r="B48" s="144"/>
      <c r="C48" s="28">
        <f>-'[1]Trial Balance'!D268-C51</f>
        <v>13544.18</v>
      </c>
      <c r="D48" s="149"/>
      <c r="E48" s="54"/>
      <c r="F48" s="54"/>
    </row>
    <row r="49" spans="1:5" s="46" customFormat="1" ht="15" customHeight="1">
      <c r="A49" s="145" t="s">
        <v>117</v>
      </c>
      <c r="B49" s="144">
        <f>'[1]Trial Balance'!F35</f>
        <v>12234.230000000001</v>
      </c>
      <c r="C49" s="28"/>
      <c r="D49" s="149"/>
      <c r="E49" s="47"/>
    </row>
    <row r="50" spans="1:5" s="46" customFormat="1" ht="15" customHeight="1">
      <c r="A50" s="145" t="s">
        <v>116</v>
      </c>
      <c r="B50" s="141">
        <v>12064.89</v>
      </c>
      <c r="C50" s="28"/>
      <c r="D50" s="149"/>
      <c r="E50" s="47"/>
    </row>
    <row r="51" spans="1:5" s="46" customFormat="1" ht="15" customHeight="1">
      <c r="A51" s="145" t="s">
        <v>115</v>
      </c>
      <c r="B51" s="144"/>
      <c r="C51" s="150">
        <f>B49-B50</f>
        <v>169.34000000000196</v>
      </c>
      <c r="D51" s="149"/>
      <c r="E51" s="47"/>
    </row>
    <row r="52" spans="1:5" s="46" customFormat="1" ht="15" customHeight="1">
      <c r="A52" s="147" t="s">
        <v>114</v>
      </c>
      <c r="B52" s="144"/>
      <c r="C52" s="28"/>
      <c r="D52" s="146">
        <f>C48+C51-1</f>
        <v>13712.520000000002</v>
      </c>
      <c r="E52" s="47"/>
    </row>
    <row r="53" spans="1:5" s="46" customFormat="1" ht="15" customHeight="1">
      <c r="A53" s="145" t="s">
        <v>113</v>
      </c>
      <c r="B53" s="144"/>
      <c r="C53" s="28"/>
      <c r="D53" s="148">
        <f>-'[1]Trial Balance'!D274</f>
        <v>-22.990000000000002</v>
      </c>
      <c r="E53" s="47"/>
    </row>
    <row r="54" spans="1:5" s="46" customFormat="1" ht="15" customHeight="1">
      <c r="A54" s="147" t="s">
        <v>112</v>
      </c>
      <c r="B54" s="144"/>
      <c r="C54" s="28"/>
      <c r="D54" s="146">
        <f>SUM(D52:D53)</f>
        <v>13689.530000000002</v>
      </c>
      <c r="E54" s="47"/>
    </row>
    <row r="55" spans="1:6" s="46" customFormat="1" ht="15" customHeight="1">
      <c r="A55" s="145" t="s">
        <v>111</v>
      </c>
      <c r="B55" s="144"/>
      <c r="C55" s="28"/>
      <c r="D55" s="143">
        <f>-'[1]Trial Balance'!D280</f>
        <v>5843.78</v>
      </c>
      <c r="E55" s="47"/>
      <c r="F55" s="54"/>
    </row>
    <row r="56" spans="1:6" s="46" customFormat="1" ht="15" customHeight="1">
      <c r="A56" s="142" t="s">
        <v>110</v>
      </c>
      <c r="B56" s="141"/>
      <c r="C56" s="140"/>
      <c r="D56" s="139">
        <f>D47+D54+D55+1</f>
        <v>-257280.66999999995</v>
      </c>
      <c r="E56" s="138"/>
      <c r="F56" s="137"/>
    </row>
    <row r="57" spans="1:5" s="46" customFormat="1" ht="15" customHeight="1">
      <c r="A57" s="132"/>
      <c r="B57" s="133"/>
      <c r="C57" s="133"/>
      <c r="D57" s="136"/>
      <c r="E57" s="47"/>
    </row>
    <row r="58" spans="1:5" s="46" customFormat="1" ht="15" customHeight="1">
      <c r="A58" s="132"/>
      <c r="B58" s="133"/>
      <c r="C58" s="133"/>
      <c r="D58" s="136"/>
      <c r="E58" s="47"/>
    </row>
    <row r="59" spans="1:5" s="46" customFormat="1" ht="15" customHeight="1">
      <c r="A59" s="132"/>
      <c r="B59" s="133"/>
      <c r="C59" s="133"/>
      <c r="D59" s="133"/>
      <c r="E59" s="47"/>
    </row>
    <row r="60" spans="1:5" s="46" customFormat="1" ht="15" customHeight="1">
      <c r="A60" s="132"/>
      <c r="B60" s="133"/>
      <c r="C60" s="133"/>
      <c r="D60" s="133"/>
      <c r="E60" s="47"/>
    </row>
    <row r="61" spans="1:5" s="46" customFormat="1" ht="15" customHeight="1">
      <c r="A61" s="132"/>
      <c r="B61" s="133"/>
      <c r="C61" s="133"/>
      <c r="D61" s="133"/>
      <c r="E61" s="47"/>
    </row>
    <row r="62" spans="1:5" s="46" customFormat="1" ht="15" customHeight="1">
      <c r="A62" s="132"/>
      <c r="B62" s="133"/>
      <c r="C62" s="133"/>
      <c r="D62" s="133"/>
      <c r="E62" s="47"/>
    </row>
    <row r="63" spans="1:5" s="46" customFormat="1" ht="15" customHeight="1">
      <c r="A63" s="132"/>
      <c r="B63" s="133"/>
      <c r="C63" s="133"/>
      <c r="D63" s="133"/>
      <c r="E63" s="47"/>
    </row>
    <row r="64" spans="1:5" s="46" customFormat="1" ht="15" customHeight="1">
      <c r="A64" s="132"/>
      <c r="B64" s="135"/>
      <c r="C64" s="133"/>
      <c r="D64" s="133"/>
      <c r="E64" s="47"/>
    </row>
    <row r="65" spans="1:5" s="46" customFormat="1" ht="15" customHeight="1">
      <c r="A65" s="132"/>
      <c r="B65" s="135"/>
      <c r="C65" s="133"/>
      <c r="D65" s="133"/>
      <c r="E65" s="47"/>
    </row>
    <row r="66" spans="1:5" s="46" customFormat="1" ht="15" customHeight="1">
      <c r="A66" s="132"/>
      <c r="B66" s="135"/>
      <c r="C66" s="133"/>
      <c r="D66" s="133"/>
      <c r="E66" s="47"/>
    </row>
    <row r="67" spans="1:5" s="46" customFormat="1" ht="15" customHeight="1">
      <c r="A67" s="132"/>
      <c r="B67" s="135"/>
      <c r="C67" s="134"/>
      <c r="D67" s="133"/>
      <c r="E67" s="47"/>
    </row>
    <row r="68" spans="1:5" s="46" customFormat="1" ht="15" customHeight="1">
      <c r="A68" s="132"/>
      <c r="B68" s="135"/>
      <c r="C68" s="133"/>
      <c r="D68" s="133"/>
      <c r="E68" s="47"/>
    </row>
    <row r="69" spans="2:5" s="46" customFormat="1" ht="15" customHeight="1">
      <c r="B69" s="135"/>
      <c r="C69" s="133"/>
      <c r="D69" s="133"/>
      <c r="E69" s="47"/>
    </row>
    <row r="70" spans="1:5" s="46" customFormat="1" ht="15" customHeight="1">
      <c r="A70" s="132"/>
      <c r="B70" s="135"/>
      <c r="C70" s="133"/>
      <c r="D70" s="133"/>
      <c r="E70" s="47"/>
    </row>
    <row r="71" spans="1:5" s="46" customFormat="1" ht="15" customHeight="1">
      <c r="A71" s="132"/>
      <c r="B71" s="135"/>
      <c r="C71" s="133"/>
      <c r="D71" s="133"/>
      <c r="E71" s="47"/>
    </row>
    <row r="72" spans="1:5" s="46" customFormat="1" ht="15" customHeight="1">
      <c r="A72" s="132"/>
      <c r="B72" s="130"/>
      <c r="C72" s="133"/>
      <c r="D72" s="133"/>
      <c r="E72" s="47"/>
    </row>
    <row r="73" spans="1:5" s="46" customFormat="1" ht="15" customHeight="1">
      <c r="A73" s="132"/>
      <c r="B73" s="133"/>
      <c r="C73" s="134"/>
      <c r="D73" s="133"/>
      <c r="E73" s="47"/>
    </row>
    <row r="74" spans="1:5" s="46" customFormat="1" ht="15" customHeight="1">
      <c r="A74" s="132"/>
      <c r="B74" s="133"/>
      <c r="C74" s="133"/>
      <c r="D74" s="133"/>
      <c r="E74" s="47"/>
    </row>
    <row r="75" spans="1:5" s="46" customFormat="1" ht="15" customHeight="1">
      <c r="A75" s="132"/>
      <c r="B75" s="133"/>
      <c r="C75" s="133"/>
      <c r="D75" s="133"/>
      <c r="E75" s="47"/>
    </row>
    <row r="76" spans="1:5" s="46" customFormat="1" ht="15" customHeight="1">
      <c r="A76" s="132"/>
      <c r="B76" s="133"/>
      <c r="C76" s="133"/>
      <c r="D76" s="133"/>
      <c r="E76" s="47"/>
    </row>
    <row r="77" spans="1:5" s="46" customFormat="1" ht="15" customHeight="1">
      <c r="A77" s="132"/>
      <c r="B77" s="133"/>
      <c r="C77" s="133"/>
      <c r="D77" s="133"/>
      <c r="E77" s="47"/>
    </row>
    <row r="78" spans="1:5" s="46" customFormat="1" ht="15" customHeight="1">
      <c r="A78" s="132"/>
      <c r="B78" s="133"/>
      <c r="C78" s="133"/>
      <c r="D78" s="133"/>
      <c r="E78" s="47"/>
    </row>
    <row r="79" spans="1:5" s="46" customFormat="1" ht="15" customHeight="1">
      <c r="A79" s="132"/>
      <c r="B79" s="133"/>
      <c r="C79" s="133"/>
      <c r="D79" s="133"/>
      <c r="E79" s="47"/>
    </row>
    <row r="80" spans="1:5" s="46" customFormat="1" ht="15" customHeight="1">
      <c r="A80" s="132"/>
      <c r="B80" s="133"/>
      <c r="C80" s="133"/>
      <c r="D80" s="133"/>
      <c r="E80" s="47"/>
    </row>
    <row r="81" spans="1:5" s="46" customFormat="1" ht="15" customHeight="1">
      <c r="A81" s="132"/>
      <c r="B81" s="133"/>
      <c r="C81" s="133"/>
      <c r="D81" s="133"/>
      <c r="E81" s="47"/>
    </row>
    <row r="82" spans="1:5" s="46" customFormat="1" ht="15" customHeight="1">
      <c r="A82" s="132"/>
      <c r="B82" s="133"/>
      <c r="C82" s="133"/>
      <c r="D82" s="133"/>
      <c r="E82" s="47"/>
    </row>
    <row r="83" spans="1:5" s="46" customFormat="1" ht="15" customHeight="1">
      <c r="A83" s="132"/>
      <c r="B83" s="133"/>
      <c r="C83" s="133"/>
      <c r="D83" s="133"/>
      <c r="E83" s="47"/>
    </row>
    <row r="84" spans="1:5" s="46" customFormat="1" ht="15" customHeight="1">
      <c r="A84" s="132"/>
      <c r="B84" s="133"/>
      <c r="C84" s="133"/>
      <c r="D84" s="133"/>
      <c r="E84" s="47"/>
    </row>
    <row r="85" spans="1:5" s="46" customFormat="1" ht="15" customHeight="1">
      <c r="A85" s="132"/>
      <c r="B85" s="133"/>
      <c r="C85" s="133"/>
      <c r="D85" s="133"/>
      <c r="E85" s="47"/>
    </row>
    <row r="86" spans="1:5" s="46" customFormat="1" ht="15" customHeight="1">
      <c r="A86" s="132"/>
      <c r="B86" s="133"/>
      <c r="C86" s="133"/>
      <c r="D86" s="133"/>
      <c r="E86" s="47"/>
    </row>
    <row r="87" spans="1:5" s="46" customFormat="1" ht="15" customHeight="1">
      <c r="A87" s="132"/>
      <c r="B87" s="133"/>
      <c r="C87" s="133"/>
      <c r="D87" s="133"/>
      <c r="E87" s="47"/>
    </row>
    <row r="88" spans="1:5" s="46" customFormat="1" ht="15" customHeight="1">
      <c r="A88" s="132"/>
      <c r="B88" s="133"/>
      <c r="C88" s="133"/>
      <c r="D88" s="133"/>
      <c r="E88" s="47"/>
    </row>
    <row r="89" spans="1:5" s="46" customFormat="1" ht="15" customHeight="1">
      <c r="A89" s="132"/>
      <c r="B89" s="133"/>
      <c r="C89" s="130"/>
      <c r="D89" s="130"/>
      <c r="E89" s="47"/>
    </row>
    <row r="90" spans="1:5" s="46" customFormat="1" ht="15" customHeight="1">
      <c r="A90" s="132"/>
      <c r="B90" s="133"/>
      <c r="C90" s="130"/>
      <c r="D90" s="130"/>
      <c r="E90" s="47"/>
    </row>
    <row r="91" spans="1:5" s="46" customFormat="1" ht="15" customHeight="1">
      <c r="A91" s="132"/>
      <c r="B91" s="133"/>
      <c r="C91" s="130"/>
      <c r="D91" s="130"/>
      <c r="E91" s="47"/>
    </row>
    <row r="92" spans="1:5" s="46" customFormat="1" ht="15" customHeight="1">
      <c r="A92" s="132"/>
      <c r="B92" s="130"/>
      <c r="C92" s="130"/>
      <c r="D92" s="130"/>
      <c r="E92" s="47"/>
    </row>
    <row r="93" spans="1:5" s="46" customFormat="1" ht="15" customHeight="1">
      <c r="A93" s="132"/>
      <c r="B93" s="130"/>
      <c r="C93" s="130"/>
      <c r="D93" s="130"/>
      <c r="E93" s="47"/>
    </row>
    <row r="94" spans="1:5" s="46" customFormat="1" ht="15" customHeight="1">
      <c r="A94" s="132"/>
      <c r="B94" s="130"/>
      <c r="C94" s="130"/>
      <c r="D94" s="130"/>
      <c r="E94" s="47"/>
    </row>
    <row r="95" spans="1:5" s="46" customFormat="1" ht="15" customHeight="1">
      <c r="A95" s="132"/>
      <c r="B95" s="130"/>
      <c r="C95" s="130"/>
      <c r="D95" s="130"/>
      <c r="E95" s="47"/>
    </row>
    <row r="96" spans="1:5" s="46" customFormat="1" ht="15" customHeight="1">
      <c r="A96" s="132"/>
      <c r="B96" s="130"/>
      <c r="C96" s="130"/>
      <c r="D96" s="130"/>
      <c r="E96" s="47"/>
    </row>
    <row r="97" spans="1:5" s="46" customFormat="1" ht="15" customHeight="1">
      <c r="A97" s="132"/>
      <c r="B97" s="130"/>
      <c r="C97" s="130"/>
      <c r="D97" s="130"/>
      <c r="E97" s="47"/>
    </row>
    <row r="98" spans="1:5" s="46" customFormat="1" ht="15" customHeight="1">
      <c r="A98" s="132"/>
      <c r="B98" s="130"/>
      <c r="C98" s="130"/>
      <c r="D98" s="130"/>
      <c r="E98" s="47"/>
    </row>
    <row r="99" spans="1:5" s="46" customFormat="1" ht="15" customHeight="1">
      <c r="A99" s="132"/>
      <c r="B99" s="130"/>
      <c r="C99" s="130"/>
      <c r="D99" s="130"/>
      <c r="E99" s="47"/>
    </row>
    <row r="100" spans="1:5" s="46" customFormat="1" ht="15" customHeight="1">
      <c r="A100" s="132"/>
      <c r="B100" s="130"/>
      <c r="C100" s="130"/>
      <c r="D100" s="130"/>
      <c r="E100" s="47"/>
    </row>
    <row r="101" spans="1:5" s="46" customFormat="1" ht="15" customHeight="1">
      <c r="A101" s="132"/>
      <c r="B101" s="130"/>
      <c r="C101" s="130"/>
      <c r="D101" s="130"/>
      <c r="E101" s="47"/>
    </row>
    <row r="102" spans="1:5" s="46" customFormat="1" ht="15" customHeight="1">
      <c r="A102" s="132"/>
      <c r="B102" s="130"/>
      <c r="C102" s="130"/>
      <c r="D102" s="130"/>
      <c r="E102" s="47"/>
    </row>
    <row r="103" spans="1:5" s="46" customFormat="1" ht="15" customHeight="1">
      <c r="A103" s="132"/>
      <c r="B103" s="130"/>
      <c r="C103" s="130"/>
      <c r="D103" s="130"/>
      <c r="E103" s="47"/>
    </row>
    <row r="104" spans="1:5" s="46" customFormat="1" ht="15" customHeight="1">
      <c r="A104" s="132"/>
      <c r="B104" s="130"/>
      <c r="C104" s="130"/>
      <c r="D104" s="130"/>
      <c r="E104" s="47"/>
    </row>
    <row r="105" spans="1:5" s="46" customFormat="1" ht="15" customHeight="1">
      <c r="A105" s="132"/>
      <c r="B105" s="130"/>
      <c r="C105" s="130"/>
      <c r="D105" s="130"/>
      <c r="E105" s="47"/>
    </row>
    <row r="106" spans="1:5" s="46" customFormat="1" ht="15" customHeight="1">
      <c r="A106" s="132"/>
      <c r="B106" s="130"/>
      <c r="C106" s="130"/>
      <c r="D106" s="130"/>
      <c r="E106" s="47"/>
    </row>
    <row r="107" spans="1:5" s="46" customFormat="1" ht="15" customHeight="1">
      <c r="A107" s="132"/>
      <c r="B107" s="130"/>
      <c r="C107" s="130"/>
      <c r="D107" s="130"/>
      <c r="E107" s="47"/>
    </row>
    <row r="108" spans="1:5" s="46" customFormat="1" ht="15" customHeight="1">
      <c r="A108" s="132"/>
      <c r="B108" s="130"/>
      <c r="C108" s="130"/>
      <c r="D108" s="130"/>
      <c r="E108" s="47"/>
    </row>
    <row r="109" spans="1:5" s="46" customFormat="1" ht="15" customHeight="1">
      <c r="A109" s="132"/>
      <c r="B109" s="130"/>
      <c r="C109" s="130"/>
      <c r="D109" s="130"/>
      <c r="E109" s="47"/>
    </row>
    <row r="110" spans="1:5" s="46" customFormat="1" ht="15" customHeight="1">
      <c r="A110" s="132"/>
      <c r="B110" s="130"/>
      <c r="C110" s="130"/>
      <c r="D110" s="130"/>
      <c r="E110" s="47"/>
    </row>
    <row r="111" spans="1:5" s="46" customFormat="1" ht="15" customHeight="1">
      <c r="A111" s="132"/>
      <c r="B111" s="130"/>
      <c r="C111" s="130"/>
      <c r="D111" s="130"/>
      <c r="E111" s="47"/>
    </row>
    <row r="112" spans="1:5" s="46" customFormat="1" ht="15" customHeight="1">
      <c r="A112" s="132"/>
      <c r="B112" s="130"/>
      <c r="C112" s="130"/>
      <c r="D112" s="130"/>
      <c r="E112" s="47"/>
    </row>
    <row r="113" spans="1:5" s="46" customFormat="1" ht="15" customHeight="1">
      <c r="A113" s="132"/>
      <c r="B113" s="130"/>
      <c r="C113" s="130"/>
      <c r="D113" s="130"/>
      <c r="E113" s="47"/>
    </row>
    <row r="114" spans="1:5" s="46" customFormat="1" ht="15" customHeight="1">
      <c r="A114" s="132"/>
      <c r="B114" s="130"/>
      <c r="C114" s="130"/>
      <c r="D114" s="130"/>
      <c r="E114" s="47"/>
    </row>
    <row r="115" spans="1:5" s="46" customFormat="1" ht="15" customHeight="1">
      <c r="A115" s="132"/>
      <c r="B115" s="130"/>
      <c r="C115" s="130"/>
      <c r="D115" s="130"/>
      <c r="E115" s="47"/>
    </row>
    <row r="116" spans="1:5" s="46" customFormat="1" ht="15" customHeight="1">
      <c r="A116" s="132"/>
      <c r="B116" s="130"/>
      <c r="C116" s="130"/>
      <c r="D116" s="130"/>
      <c r="E116" s="47"/>
    </row>
    <row r="117" spans="1:5" s="46" customFormat="1" ht="15" customHeight="1">
      <c r="A117" s="132"/>
      <c r="B117" s="130"/>
      <c r="C117" s="130"/>
      <c r="D117" s="130"/>
      <c r="E117" s="47"/>
    </row>
    <row r="118" spans="1:5" s="46" customFormat="1" ht="15" customHeight="1">
      <c r="A118" s="132"/>
      <c r="B118" s="130"/>
      <c r="C118" s="130"/>
      <c r="D118" s="130"/>
      <c r="E118" s="47"/>
    </row>
    <row r="119" spans="1:5" s="46" customFormat="1" ht="15" customHeight="1">
      <c r="A119" s="132"/>
      <c r="B119" s="130"/>
      <c r="C119" s="130"/>
      <c r="D119" s="130"/>
      <c r="E119" s="47"/>
    </row>
    <row r="120" spans="1:5" s="46" customFormat="1" ht="15" customHeight="1">
      <c r="A120" s="132"/>
      <c r="B120" s="130"/>
      <c r="C120" s="130"/>
      <c r="D120" s="130"/>
      <c r="E120" s="47"/>
    </row>
    <row r="121" spans="1:5" s="46" customFormat="1" ht="15" customHeight="1">
      <c r="A121" s="131"/>
      <c r="B121" s="130"/>
      <c r="C121" s="130"/>
      <c r="D121" s="130"/>
      <c r="E121" s="47"/>
    </row>
    <row r="122" spans="1:5" s="46" customFormat="1" ht="15" customHeight="1">
      <c r="A122" s="131"/>
      <c r="B122" s="130"/>
      <c r="C122" s="130"/>
      <c r="D122" s="130"/>
      <c r="E122" s="47"/>
    </row>
    <row r="123" spans="1:5" s="46" customFormat="1" ht="15" customHeight="1">
      <c r="A123" s="131"/>
      <c r="B123" s="130"/>
      <c r="C123" s="130"/>
      <c r="D123" s="130"/>
      <c r="E123" s="47"/>
    </row>
    <row r="124" spans="1:5" s="46" customFormat="1" ht="15" customHeight="1">
      <c r="A124" s="131"/>
      <c r="B124" s="130"/>
      <c r="C124" s="130"/>
      <c r="D124" s="130"/>
      <c r="E124" s="47"/>
    </row>
    <row r="125" spans="1:5" s="46" customFormat="1" ht="15" customHeight="1">
      <c r="A125" s="131"/>
      <c r="B125" s="130"/>
      <c r="C125" s="130"/>
      <c r="D125" s="130"/>
      <c r="E125" s="47"/>
    </row>
    <row r="126" spans="1:5" s="46" customFormat="1" ht="15" customHeight="1">
      <c r="A126" s="131"/>
      <c r="B126" s="130"/>
      <c r="C126" s="130"/>
      <c r="D126" s="130"/>
      <c r="E126" s="47"/>
    </row>
    <row r="127" spans="1:5" s="46" customFormat="1" ht="15" customHeight="1">
      <c r="A127" s="131"/>
      <c r="B127" s="130"/>
      <c r="C127" s="130"/>
      <c r="D127" s="130"/>
      <c r="E127" s="47"/>
    </row>
    <row r="128" ht="15" customHeight="1">
      <c r="A128" s="129"/>
    </row>
    <row r="129" s="70" customFormat="1" ht="15" customHeight="1">
      <c r="A129" s="129"/>
    </row>
    <row r="130" s="70" customFormat="1" ht="15" customHeight="1">
      <c r="A130" s="129"/>
    </row>
    <row r="131" s="70" customFormat="1" ht="15" customHeight="1">
      <c r="A131" s="129"/>
    </row>
    <row r="132" s="70" customFormat="1" ht="15" customHeight="1">
      <c r="A132" s="129"/>
    </row>
    <row r="133" s="70" customFormat="1" ht="15" customHeight="1">
      <c r="A133" s="129"/>
    </row>
    <row r="134" s="70" customFormat="1" ht="15" customHeight="1">
      <c r="A134" s="129"/>
    </row>
    <row r="135" s="70" customFormat="1" ht="15" customHeight="1">
      <c r="A135" s="129"/>
    </row>
    <row r="136" s="70" customFormat="1" ht="15" customHeight="1">
      <c r="A136" s="129"/>
    </row>
    <row r="137" s="70" customFormat="1" ht="15" customHeight="1">
      <c r="A137" s="129"/>
    </row>
    <row r="138" s="70" customFormat="1" ht="15" customHeight="1">
      <c r="A138" s="129"/>
    </row>
    <row r="139" s="70" customFormat="1" ht="15" customHeight="1">
      <c r="A139" s="129"/>
    </row>
    <row r="140" s="70" customFormat="1" ht="15" customHeight="1">
      <c r="A140" s="129"/>
    </row>
    <row r="141" s="70" customFormat="1" ht="15" customHeight="1">
      <c r="A141" s="129"/>
    </row>
    <row r="142" s="70" customFormat="1" ht="15" customHeight="1">
      <c r="A142" s="129"/>
    </row>
    <row r="143" s="70" customFormat="1" ht="15" customHeight="1">
      <c r="A143" s="129"/>
    </row>
    <row r="144" s="70" customFormat="1" ht="15" customHeight="1">
      <c r="A144" s="129"/>
    </row>
    <row r="145" s="70" customFormat="1" ht="15" customHeight="1">
      <c r="A145" s="129"/>
    </row>
    <row r="146" s="70" customFormat="1" ht="15" customHeight="1">
      <c r="A146" s="129"/>
    </row>
    <row r="147" s="70" customFormat="1" ht="15" customHeight="1">
      <c r="A147" s="129"/>
    </row>
    <row r="148" s="70" customFormat="1" ht="15" customHeight="1">
      <c r="A148" s="129"/>
    </row>
    <row r="149" s="70" customFormat="1" ht="15" customHeight="1">
      <c r="A149" s="129"/>
    </row>
    <row r="150" s="70" customFormat="1" ht="15" customHeight="1">
      <c r="A150" s="129"/>
    </row>
    <row r="151" s="70" customFormat="1" ht="15" customHeight="1">
      <c r="A151" s="129"/>
    </row>
    <row r="152" s="70" customFormat="1" ht="15" customHeight="1">
      <c r="A152" s="129"/>
    </row>
    <row r="153" s="70" customFormat="1" ht="15" customHeight="1">
      <c r="A153" s="129"/>
    </row>
    <row r="154" s="70" customFormat="1" ht="15" customHeight="1">
      <c r="A154" s="129"/>
    </row>
    <row r="155" s="70" customFormat="1" ht="15" customHeight="1">
      <c r="A155" s="129"/>
    </row>
    <row r="156" s="70" customFormat="1" ht="15" customHeight="1">
      <c r="A156" s="129"/>
    </row>
    <row r="157" s="70" customFormat="1" ht="15" customHeight="1">
      <c r="A157" s="129"/>
    </row>
    <row r="158" s="70" customFormat="1" ht="15" customHeight="1">
      <c r="A158" s="129"/>
    </row>
    <row r="159" s="70" customFormat="1" ht="15" customHeight="1">
      <c r="A159" s="129"/>
    </row>
    <row r="160" s="70" customFormat="1" ht="15" customHeight="1">
      <c r="A160" s="129"/>
    </row>
    <row r="161" s="70" customFormat="1" ht="15" customHeight="1">
      <c r="A161" s="129"/>
    </row>
  </sheetData>
  <sheetProtection/>
  <mergeCells count="5">
    <mergeCell ref="A5:D5"/>
    <mergeCell ref="A1:D1"/>
    <mergeCell ref="A2:D2"/>
    <mergeCell ref="A3:D3"/>
    <mergeCell ref="A4:D4"/>
  </mergeCells>
  <printOptions horizontalCentered="1"/>
  <pageMargins left="0.25" right="0.25" top="0.5" bottom="0.5" header="0.25" footer="0.25"/>
  <pageSetup horizontalDpi="600" verticalDpi="600" orientation="portrait" scale="75" r:id="rId1"/>
  <headerFooter alignWithMargins="0">
    <oddFooter>&amp;CPage 5
</oddFooter>
  </headerFooter>
</worksheet>
</file>

<file path=xl/worksheets/sheet6.xml><?xml version="1.0" encoding="utf-8"?>
<worksheet xmlns="http://schemas.openxmlformats.org/spreadsheetml/2006/main" xmlns:r="http://schemas.openxmlformats.org/officeDocument/2006/relationships">
  <dimension ref="A1:G161"/>
  <sheetViews>
    <sheetView zoomScalePageLayoutView="0" workbookViewId="0" topLeftCell="A1">
      <selection activeCell="A1" sqref="A1:D1"/>
    </sheetView>
  </sheetViews>
  <sheetFormatPr defaultColWidth="15.7109375" defaultRowHeight="15" customHeight="1"/>
  <cols>
    <col min="1" max="1" width="60.7109375" style="70" customWidth="1"/>
    <col min="2" max="4" width="18.7109375" style="128" customWidth="1"/>
    <col min="5" max="5" width="15.7109375" style="127" customWidth="1"/>
    <col min="6" max="16384" width="15.7109375" style="70" customWidth="1"/>
  </cols>
  <sheetData>
    <row r="1" spans="1:5" s="167" customFormat="1" ht="30" customHeight="1">
      <c r="A1" s="306" t="s">
        <v>38</v>
      </c>
      <c r="B1" s="307"/>
      <c r="C1" s="307"/>
      <c r="D1" s="308"/>
      <c r="E1" s="168"/>
    </row>
    <row r="2" spans="1:5" s="164" customFormat="1" ht="15" customHeight="1">
      <c r="A2" s="309"/>
      <c r="B2" s="310"/>
      <c r="C2" s="310"/>
      <c r="D2" s="311"/>
      <c r="E2" s="165"/>
    </row>
    <row r="3" spans="1:5" s="164" customFormat="1" ht="15" customHeight="1">
      <c r="A3" s="303" t="s">
        <v>157</v>
      </c>
      <c r="B3" s="304"/>
      <c r="C3" s="304"/>
      <c r="D3" s="305"/>
      <c r="E3" s="165"/>
    </row>
    <row r="4" spans="1:5" s="164" customFormat="1" ht="15" customHeight="1">
      <c r="A4" s="303" t="s">
        <v>156</v>
      </c>
      <c r="B4" s="304"/>
      <c r="C4" s="304"/>
      <c r="D4" s="305"/>
      <c r="E4" s="165"/>
    </row>
    <row r="5" spans="1:5" s="164" customFormat="1" ht="15" customHeight="1">
      <c r="A5" s="303" t="s">
        <v>160</v>
      </c>
      <c r="B5" s="304"/>
      <c r="C5" s="304"/>
      <c r="D5" s="305"/>
      <c r="E5" s="165"/>
    </row>
    <row r="6" spans="1:5" s="164" customFormat="1" ht="15" customHeight="1">
      <c r="A6" s="166"/>
      <c r="B6" s="162"/>
      <c r="C6" s="162"/>
      <c r="D6" s="161"/>
      <c r="E6" s="165"/>
    </row>
    <row r="7" spans="1:5" s="46" customFormat="1" ht="15" customHeight="1">
      <c r="A7" s="163"/>
      <c r="B7" s="162"/>
      <c r="C7" s="162"/>
      <c r="D7" s="161"/>
      <c r="E7" s="47"/>
    </row>
    <row r="8" spans="1:5" s="46" customFormat="1" ht="15" customHeight="1">
      <c r="A8" s="160" t="s">
        <v>154</v>
      </c>
      <c r="B8" s="323" t="s">
        <v>153</v>
      </c>
      <c r="C8" s="324"/>
      <c r="D8" s="325"/>
      <c r="E8" s="47"/>
    </row>
    <row r="9" spans="1:5" s="46" customFormat="1" ht="15" customHeight="1">
      <c r="A9" s="160"/>
      <c r="B9" s="326" t="s">
        <v>65</v>
      </c>
      <c r="C9" s="327"/>
      <c r="D9" s="328"/>
      <c r="E9" s="47"/>
    </row>
    <row r="10" spans="1:5" s="46" customFormat="1" ht="15" customHeight="1">
      <c r="A10" s="159"/>
      <c r="B10" s="158" t="s">
        <v>39</v>
      </c>
      <c r="C10" s="157"/>
      <c r="D10" s="149"/>
      <c r="E10" s="47"/>
    </row>
    <row r="11" spans="1:5" s="46" customFormat="1" ht="15" customHeight="1">
      <c r="A11" s="147" t="s">
        <v>152</v>
      </c>
      <c r="B11" s="144"/>
      <c r="C11" s="15">
        <f>'Premiums YTD-8'!$F$12</f>
        <v>5461264</v>
      </c>
      <c r="D11" s="149"/>
      <c r="E11" s="47"/>
    </row>
    <row r="12" spans="1:5" s="46" customFormat="1" ht="15" customHeight="1">
      <c r="A12" s="147"/>
      <c r="B12" s="144"/>
      <c r="C12" s="30"/>
      <c r="D12" s="149"/>
      <c r="E12" s="47"/>
    </row>
    <row r="13" spans="1:5" s="46" customFormat="1" ht="15" customHeight="1">
      <c r="A13" s="145" t="s">
        <v>151</v>
      </c>
      <c r="B13" s="144">
        <f>'Premiums YTD-8'!$F$18</f>
        <v>5584596.99</v>
      </c>
      <c r="C13" s="28"/>
      <c r="D13" s="149"/>
      <c r="E13" s="47"/>
    </row>
    <row r="14" spans="1:5" s="46" customFormat="1" ht="15" customHeight="1">
      <c r="A14" s="145" t="s">
        <v>150</v>
      </c>
      <c r="B14" s="141">
        <f>'Premiums YTD-8'!$F$24</f>
        <v>5718238.84</v>
      </c>
      <c r="C14" s="28"/>
      <c r="D14" s="149"/>
      <c r="E14" s="47"/>
    </row>
    <row r="15" spans="1:5" s="46" customFormat="1" ht="15" customHeight="1">
      <c r="A15" s="145" t="s">
        <v>149</v>
      </c>
      <c r="B15" s="144"/>
      <c r="C15" s="140">
        <f>B14-B13</f>
        <v>133641.84999999963</v>
      </c>
      <c r="D15" s="149"/>
      <c r="E15" s="47"/>
    </row>
    <row r="16" spans="1:5" s="46" customFormat="1" ht="15" customHeight="1">
      <c r="A16" s="147" t="s">
        <v>148</v>
      </c>
      <c r="B16" s="144"/>
      <c r="C16" s="28"/>
      <c r="D16" s="156">
        <f>C11+C15</f>
        <v>5594905.85</v>
      </c>
      <c r="E16" s="47"/>
    </row>
    <row r="17" spans="1:4" s="46" customFormat="1" ht="15" customHeight="1">
      <c r="A17" s="145" t="s">
        <v>147</v>
      </c>
      <c r="B17" s="144"/>
      <c r="C17" s="28">
        <f>'[1]Loss Expenses Paid YTD-16'!$E$36</f>
        <v>3419966.78</v>
      </c>
      <c r="D17" s="149"/>
    </row>
    <row r="18" spans="1:4" s="46" customFormat="1" ht="15" customHeight="1">
      <c r="A18" s="145" t="s">
        <v>146</v>
      </c>
      <c r="B18" s="144"/>
      <c r="C18" s="140">
        <f>-'[1]Trial Balance'!$F$304-1</f>
        <v>103216.95000000001</v>
      </c>
      <c r="D18" s="149"/>
    </row>
    <row r="19" spans="1:5" s="46" customFormat="1" ht="15" customHeight="1">
      <c r="A19" s="147" t="s">
        <v>145</v>
      </c>
      <c r="B19" s="144"/>
      <c r="C19" s="28">
        <f>C17-C18</f>
        <v>3316749.8299999996</v>
      </c>
      <c r="D19" s="149"/>
      <c r="E19" s="47"/>
    </row>
    <row r="20" spans="1:5" s="46" customFormat="1" ht="15" customHeight="1">
      <c r="A20" s="145" t="s">
        <v>144</v>
      </c>
      <c r="B20" s="144">
        <f>'Losses Incurred YTD-10'!F18+'Losses Incurred YTD-10'!F24</f>
        <v>2297345.68</v>
      </c>
      <c r="C20" s="28" t="s">
        <v>39</v>
      </c>
      <c r="D20" s="149"/>
      <c r="E20" s="47"/>
    </row>
    <row r="21" spans="1:5" s="46" customFormat="1" ht="15" customHeight="1">
      <c r="A21" s="145" t="s">
        <v>143</v>
      </c>
      <c r="B21" s="141">
        <f>'Losses Incurred YTD-10'!F31</f>
        <v>2884547.79</v>
      </c>
      <c r="C21" s="28"/>
      <c r="D21" s="149"/>
      <c r="E21" s="47"/>
    </row>
    <row r="22" spans="1:5" s="46" customFormat="1" ht="15" customHeight="1">
      <c r="A22" s="145" t="s">
        <v>142</v>
      </c>
      <c r="B22" s="155"/>
      <c r="C22" s="150">
        <f>B20-B21</f>
        <v>-587202.1099999999</v>
      </c>
      <c r="D22" s="149"/>
      <c r="E22" s="47"/>
    </row>
    <row r="23" spans="1:6" s="46" customFormat="1" ht="15" customHeight="1">
      <c r="A23" s="147" t="s">
        <v>141</v>
      </c>
      <c r="B23" s="144"/>
      <c r="C23" s="28"/>
      <c r="D23" s="149">
        <f>C19+C22</f>
        <v>2729547.7199999997</v>
      </c>
      <c r="E23" s="28"/>
      <c r="F23" s="54"/>
    </row>
    <row r="24" spans="1:5" s="46" customFormat="1" ht="15" customHeight="1">
      <c r="A24" s="145" t="s">
        <v>140</v>
      </c>
      <c r="B24" s="144"/>
      <c r="C24" s="28">
        <f>'[1]Loss Expenses Paid YTD-16'!C36</f>
        <v>363273.92000000004</v>
      </c>
      <c r="D24" s="149"/>
      <c r="E24" s="154"/>
    </row>
    <row r="25" spans="1:5" s="46" customFormat="1" ht="15" customHeight="1">
      <c r="A25" s="145" t="s">
        <v>139</v>
      </c>
      <c r="B25" s="144"/>
      <c r="C25" s="140">
        <f>'[1]Loss Expenses Paid YTD-16'!I36</f>
        <v>266555.03</v>
      </c>
      <c r="D25" s="149"/>
      <c r="E25" s="154"/>
    </row>
    <row r="26" spans="1:5" s="46" customFormat="1" ht="15" customHeight="1">
      <c r="A26" s="147" t="s">
        <v>138</v>
      </c>
      <c r="B26" s="144"/>
      <c r="C26" s="28">
        <f>C24+C25</f>
        <v>629828.9500000001</v>
      </c>
      <c r="D26" s="149"/>
      <c r="E26" s="28"/>
    </row>
    <row r="27" spans="1:5" s="46" customFormat="1" ht="15" customHeight="1">
      <c r="A27" s="145" t="s">
        <v>137</v>
      </c>
      <c r="B27" s="144">
        <v>450639.96</v>
      </c>
      <c r="C27" s="28"/>
      <c r="D27" s="149"/>
      <c r="E27" s="154"/>
    </row>
    <row r="28" spans="1:5" s="46" customFormat="1" ht="15" customHeight="1">
      <c r="A28" s="145" t="s">
        <v>136</v>
      </c>
      <c r="B28" s="141">
        <v>492508.13999999996</v>
      </c>
      <c r="C28" s="28"/>
      <c r="D28" s="149"/>
      <c r="E28" s="28"/>
    </row>
    <row r="29" spans="1:7" s="46" customFormat="1" ht="15" customHeight="1">
      <c r="A29" s="145" t="s">
        <v>135</v>
      </c>
      <c r="B29" s="144"/>
      <c r="C29" s="150">
        <f>B27-B28</f>
        <v>-41868.179999999935</v>
      </c>
      <c r="D29" s="149"/>
      <c r="E29" s="154"/>
      <c r="G29" s="54"/>
    </row>
    <row r="30" spans="1:6" s="46" customFormat="1" ht="15" customHeight="1">
      <c r="A30" s="147" t="s">
        <v>134</v>
      </c>
      <c r="B30" s="144"/>
      <c r="C30" s="28"/>
      <c r="D30" s="146">
        <f>C26+C29</f>
        <v>587960.7700000001</v>
      </c>
      <c r="E30" s="28"/>
      <c r="F30" s="54"/>
    </row>
    <row r="31" spans="1:6" s="46" customFormat="1" ht="15" customHeight="1">
      <c r="A31" s="147" t="s">
        <v>133</v>
      </c>
      <c r="B31" s="144"/>
      <c r="C31" s="28"/>
      <c r="D31" s="151">
        <f>D23+D30+1</f>
        <v>3317509.4899999998</v>
      </c>
      <c r="E31" s="28"/>
      <c r="F31" s="54"/>
    </row>
    <row r="32" spans="1:6" s="46" customFormat="1" ht="15" customHeight="1">
      <c r="A32" s="145" t="s">
        <v>132</v>
      </c>
      <c r="B32" s="144"/>
      <c r="C32" s="28">
        <f>14910.31+2047.47+11894.73+22800</f>
        <v>51652.509999999995</v>
      </c>
      <c r="D32" s="149"/>
      <c r="E32" s="154"/>
      <c r="F32" s="54"/>
    </row>
    <row r="33" spans="1:7" s="46" customFormat="1" ht="15" customHeight="1">
      <c r="A33" s="145" t="s">
        <v>125</v>
      </c>
      <c r="B33" s="144">
        <f>-'[1]Trial Balance'!F140</f>
        <v>17294.58</v>
      </c>
      <c r="C33" s="28"/>
      <c r="D33" s="149"/>
      <c r="E33" s="47"/>
      <c r="G33" s="54"/>
    </row>
    <row r="34" spans="1:7" s="46" customFormat="1" ht="15" customHeight="1">
      <c r="A34" s="145" t="s">
        <v>124</v>
      </c>
      <c r="B34" s="141">
        <v>41163.77</v>
      </c>
      <c r="C34" s="28"/>
      <c r="D34" s="149"/>
      <c r="E34" s="47"/>
      <c r="G34" s="54"/>
    </row>
    <row r="35" spans="1:5" s="46" customFormat="1" ht="15" customHeight="1">
      <c r="A35" s="145" t="s">
        <v>131</v>
      </c>
      <c r="B35" s="144"/>
      <c r="C35" s="150">
        <f>B33-B34</f>
        <v>-23869.189999999995</v>
      </c>
      <c r="D35" s="149"/>
      <c r="E35" s="47"/>
    </row>
    <row r="36" spans="1:6" s="46" customFormat="1" ht="15" customHeight="1">
      <c r="A36" s="147" t="s">
        <v>130</v>
      </c>
      <c r="B36" s="144"/>
      <c r="C36" s="28" t="s">
        <v>39</v>
      </c>
      <c r="D36" s="149">
        <f>C32+C35+1</f>
        <v>27784.32</v>
      </c>
      <c r="E36" s="47"/>
      <c r="F36" s="54"/>
    </row>
    <row r="37" spans="1:5" s="46" customFormat="1" ht="15" customHeight="1">
      <c r="A37" s="145" t="s">
        <v>129</v>
      </c>
      <c r="B37" s="144"/>
      <c r="C37" s="28">
        <f>'[1]Trial Balance'!F414</f>
        <v>472961.9</v>
      </c>
      <c r="D37" s="149"/>
      <c r="E37" s="47"/>
    </row>
    <row r="38" spans="1:5" s="46" customFormat="1" ht="15" customHeight="1">
      <c r="A38" s="145" t="s">
        <v>128</v>
      </c>
      <c r="B38" s="144"/>
      <c r="C38" s="28">
        <f>'[1]Trial Balance'!F425</f>
        <v>69055.95</v>
      </c>
      <c r="D38" s="149"/>
      <c r="E38" s="153"/>
    </row>
    <row r="39" spans="1:6" s="46" customFormat="1" ht="15" customHeight="1">
      <c r="A39" s="145" t="s">
        <v>127</v>
      </c>
      <c r="B39" s="144"/>
      <c r="C39" s="140">
        <f>'[1]Trial Balance'!F666-C43-3</f>
        <v>1833344.789999999</v>
      </c>
      <c r="D39" s="149"/>
      <c r="E39" s="153"/>
      <c r="F39" s="47"/>
    </row>
    <row r="40" spans="1:6" s="46" customFormat="1" ht="15" customHeight="1">
      <c r="A40" s="147" t="s">
        <v>126</v>
      </c>
      <c r="B40" s="144"/>
      <c r="C40" s="28">
        <f>SUM(C37:C39)</f>
        <v>2375362.639999999</v>
      </c>
      <c r="D40" s="149"/>
      <c r="E40" s="153"/>
      <c r="F40" s="47"/>
    </row>
    <row r="41" spans="1:5" s="46" customFormat="1" ht="15" customHeight="1">
      <c r="A41" s="145" t="s">
        <v>125</v>
      </c>
      <c r="B41" s="144">
        <f>-'[1]Trial Balance'!F155</f>
        <v>121784.53999999998</v>
      </c>
      <c r="C41" s="28"/>
      <c r="D41" s="149"/>
      <c r="E41" s="153"/>
    </row>
    <row r="42" spans="1:5" s="46" customFormat="1" ht="15" customHeight="1">
      <c r="A42" s="145" t="s">
        <v>124</v>
      </c>
      <c r="B42" s="141">
        <v>211065</v>
      </c>
      <c r="C42" s="28" t="s">
        <v>39</v>
      </c>
      <c r="D42" s="149"/>
      <c r="E42" s="47"/>
    </row>
    <row r="43" spans="1:5" s="46" customFormat="1" ht="15" customHeight="1">
      <c r="A43" s="145" t="s">
        <v>123</v>
      </c>
      <c r="B43" s="144"/>
      <c r="C43" s="150">
        <f>+B41-B42</f>
        <v>-89280.46000000002</v>
      </c>
      <c r="D43" s="149"/>
      <c r="E43" s="47"/>
    </row>
    <row r="44" spans="1:6" s="46" customFormat="1" ht="15" customHeight="1">
      <c r="A44" s="147" t="s">
        <v>122</v>
      </c>
      <c r="B44" s="144"/>
      <c r="C44" s="28"/>
      <c r="D44" s="146">
        <f>SUM(C40:C43)+1</f>
        <v>2286083.1799999992</v>
      </c>
      <c r="E44" s="47"/>
      <c r="F44" s="47"/>
    </row>
    <row r="45" spans="1:6" s="46" customFormat="1" ht="15" customHeight="1">
      <c r="A45" s="147" t="s">
        <v>121</v>
      </c>
      <c r="B45" s="144"/>
      <c r="C45" s="28"/>
      <c r="D45" s="143">
        <f>SUM(D36:D44)-1</f>
        <v>2313866.499999999</v>
      </c>
      <c r="E45" s="47"/>
      <c r="F45" s="152"/>
    </row>
    <row r="46" spans="1:6" s="46" customFormat="1" ht="15" customHeight="1">
      <c r="A46" s="147" t="s">
        <v>120</v>
      </c>
      <c r="B46" s="144"/>
      <c r="C46" s="28"/>
      <c r="D46" s="139">
        <f>+D31+D45</f>
        <v>5631375.989999998</v>
      </c>
      <c r="E46" s="47"/>
      <c r="F46" s="152"/>
    </row>
    <row r="47" spans="1:6" s="46" customFormat="1" ht="15" customHeight="1">
      <c r="A47" s="147" t="s">
        <v>119</v>
      </c>
      <c r="B47" s="144"/>
      <c r="C47" s="28"/>
      <c r="D47" s="151">
        <f>D16-D31-D45</f>
        <v>-36470.1399999992</v>
      </c>
      <c r="E47" s="138"/>
      <c r="F47" s="47"/>
    </row>
    <row r="48" spans="1:6" s="46" customFormat="1" ht="15" customHeight="1">
      <c r="A48" s="145" t="s">
        <v>118</v>
      </c>
      <c r="B48" s="144"/>
      <c r="C48" s="28">
        <f>-'[1]Trial Balance'!F268-C51</f>
        <v>31261.789999999994</v>
      </c>
      <c r="D48" s="149"/>
      <c r="E48" s="54"/>
      <c r="F48" s="54"/>
    </row>
    <row r="49" spans="1:5" s="46" customFormat="1" ht="15" customHeight="1">
      <c r="A49" s="145" t="s">
        <v>117</v>
      </c>
      <c r="B49" s="144">
        <f>'[1]Trial Balance'!F35</f>
        <v>12234.230000000001</v>
      </c>
      <c r="C49" s="28"/>
      <c r="D49" s="149"/>
      <c r="E49" s="47"/>
    </row>
    <row r="50" spans="1:5" s="46" customFormat="1" ht="15" customHeight="1">
      <c r="A50" s="145" t="s">
        <v>116</v>
      </c>
      <c r="B50" s="141">
        <v>15822</v>
      </c>
      <c r="C50" s="28"/>
      <c r="D50" s="149"/>
      <c r="E50" s="47"/>
    </row>
    <row r="51" spans="1:5" s="46" customFormat="1" ht="15" customHeight="1">
      <c r="A51" s="145" t="s">
        <v>115</v>
      </c>
      <c r="B51" s="144"/>
      <c r="C51" s="150">
        <f>B49-B50</f>
        <v>-3587.7699999999986</v>
      </c>
      <c r="D51" s="149"/>
      <c r="E51" s="47"/>
    </row>
    <row r="52" spans="1:5" s="46" customFormat="1" ht="15" customHeight="1">
      <c r="A52" s="147" t="s">
        <v>114</v>
      </c>
      <c r="B52" s="144"/>
      <c r="C52" s="28"/>
      <c r="D52" s="146">
        <f>C48+C51</f>
        <v>27674.019999999997</v>
      </c>
      <c r="E52" s="47"/>
    </row>
    <row r="53" spans="1:5" s="46" customFormat="1" ht="15" customHeight="1">
      <c r="A53" s="145" t="s">
        <v>159</v>
      </c>
      <c r="B53" s="144"/>
      <c r="C53" s="28"/>
      <c r="D53" s="148">
        <f>-'[1]Trial Balance'!F274</f>
        <v>7454.700000000001</v>
      </c>
      <c r="E53" s="47"/>
    </row>
    <row r="54" spans="1:5" s="46" customFormat="1" ht="15" customHeight="1">
      <c r="A54" s="147" t="s">
        <v>112</v>
      </c>
      <c r="B54" s="144"/>
      <c r="C54" s="28"/>
      <c r="D54" s="146">
        <f>SUM(D52:D53)</f>
        <v>35128.72</v>
      </c>
      <c r="E54" s="47"/>
    </row>
    <row r="55" spans="1:6" s="46" customFormat="1" ht="15" customHeight="1">
      <c r="A55" s="145" t="s">
        <v>111</v>
      </c>
      <c r="B55" s="144"/>
      <c r="C55" s="28"/>
      <c r="D55" s="143">
        <f>-'[1]Trial Balance'!F280</f>
        <v>11401.130000000001</v>
      </c>
      <c r="E55" s="47"/>
      <c r="F55" s="54"/>
    </row>
    <row r="56" spans="1:6" s="46" customFormat="1" ht="15" customHeight="1">
      <c r="A56" s="142" t="s">
        <v>158</v>
      </c>
      <c r="B56" s="141"/>
      <c r="C56" s="140"/>
      <c r="D56" s="139">
        <f>D47+D54+D55</f>
        <v>10059.710000000803</v>
      </c>
      <c r="E56" s="138"/>
      <c r="F56" s="137"/>
    </row>
    <row r="57" spans="1:5" s="46" customFormat="1" ht="15" customHeight="1">
      <c r="A57" s="132"/>
      <c r="B57" s="133"/>
      <c r="C57" s="133"/>
      <c r="D57" s="136"/>
      <c r="E57" s="47"/>
    </row>
    <row r="58" spans="1:5" s="46" customFormat="1" ht="15" customHeight="1">
      <c r="A58" s="132"/>
      <c r="B58" s="133"/>
      <c r="C58" s="133"/>
      <c r="D58" s="136"/>
      <c r="E58" s="47"/>
    </row>
    <row r="59" spans="1:5" s="46" customFormat="1" ht="15" customHeight="1">
      <c r="A59" s="132"/>
      <c r="B59" s="133"/>
      <c r="C59" s="133"/>
      <c r="D59" s="133"/>
      <c r="E59" s="47"/>
    </row>
    <row r="60" spans="1:5" s="46" customFormat="1" ht="15" customHeight="1">
      <c r="A60" s="132"/>
      <c r="B60" s="133"/>
      <c r="C60" s="133"/>
      <c r="D60" s="133"/>
      <c r="E60" s="47"/>
    </row>
    <row r="61" spans="1:5" s="46" customFormat="1" ht="15" customHeight="1">
      <c r="A61" s="132"/>
      <c r="B61" s="133"/>
      <c r="C61" s="133"/>
      <c r="D61" s="133"/>
      <c r="E61" s="47"/>
    </row>
    <row r="62" spans="1:5" s="46" customFormat="1" ht="15" customHeight="1">
      <c r="A62" s="132"/>
      <c r="B62" s="133"/>
      <c r="C62" s="133"/>
      <c r="D62" s="133"/>
      <c r="E62" s="47"/>
    </row>
    <row r="63" spans="1:5" s="46" customFormat="1" ht="15" customHeight="1">
      <c r="A63" s="132"/>
      <c r="B63" s="133"/>
      <c r="C63" s="133"/>
      <c r="D63" s="133"/>
      <c r="E63" s="47"/>
    </row>
    <row r="64" spans="1:5" s="46" customFormat="1" ht="15" customHeight="1">
      <c r="A64" s="132"/>
      <c r="B64" s="135"/>
      <c r="C64" s="133"/>
      <c r="D64" s="133"/>
      <c r="E64" s="47"/>
    </row>
    <row r="65" spans="1:5" s="46" customFormat="1" ht="15" customHeight="1">
      <c r="A65" s="132"/>
      <c r="B65" s="135"/>
      <c r="C65" s="133"/>
      <c r="D65" s="133"/>
      <c r="E65" s="47"/>
    </row>
    <row r="66" spans="1:5" s="46" customFormat="1" ht="15" customHeight="1">
      <c r="A66" s="132"/>
      <c r="B66" s="135"/>
      <c r="C66" s="133"/>
      <c r="D66" s="133"/>
      <c r="E66" s="47"/>
    </row>
    <row r="67" spans="1:5" s="46" customFormat="1" ht="15" customHeight="1">
      <c r="A67" s="132"/>
      <c r="B67" s="135"/>
      <c r="C67" s="134"/>
      <c r="D67" s="133"/>
      <c r="E67" s="47"/>
    </row>
    <row r="68" spans="1:5" s="46" customFormat="1" ht="15" customHeight="1">
      <c r="A68" s="132"/>
      <c r="B68" s="135"/>
      <c r="C68" s="133"/>
      <c r="D68" s="133"/>
      <c r="E68" s="47"/>
    </row>
    <row r="69" spans="2:5" s="46" customFormat="1" ht="15" customHeight="1">
      <c r="B69" s="135"/>
      <c r="C69" s="133"/>
      <c r="D69" s="133"/>
      <c r="E69" s="47"/>
    </row>
    <row r="70" spans="1:5" s="46" customFormat="1" ht="15" customHeight="1">
      <c r="A70" s="132"/>
      <c r="B70" s="135"/>
      <c r="C70" s="133"/>
      <c r="D70" s="133"/>
      <c r="E70" s="47"/>
    </row>
    <row r="71" spans="1:5" s="46" customFormat="1" ht="15" customHeight="1">
      <c r="A71" s="132"/>
      <c r="B71" s="135"/>
      <c r="C71" s="133"/>
      <c r="D71" s="133"/>
      <c r="E71" s="47"/>
    </row>
    <row r="72" spans="1:5" s="46" customFormat="1" ht="15" customHeight="1">
      <c r="A72" s="132"/>
      <c r="B72" s="130"/>
      <c r="C72" s="133"/>
      <c r="D72" s="133"/>
      <c r="E72" s="47"/>
    </row>
    <row r="73" spans="1:5" s="46" customFormat="1" ht="15" customHeight="1">
      <c r="A73" s="132"/>
      <c r="B73" s="133"/>
      <c r="C73" s="134"/>
      <c r="D73" s="133"/>
      <c r="E73" s="47"/>
    </row>
    <row r="74" spans="1:5" s="46" customFormat="1" ht="15" customHeight="1">
      <c r="A74" s="132"/>
      <c r="B74" s="133"/>
      <c r="C74" s="133"/>
      <c r="D74" s="133"/>
      <c r="E74" s="47"/>
    </row>
    <row r="75" spans="1:5" s="46" customFormat="1" ht="15" customHeight="1">
      <c r="A75" s="132"/>
      <c r="B75" s="133"/>
      <c r="C75" s="133"/>
      <c r="D75" s="133"/>
      <c r="E75" s="47"/>
    </row>
    <row r="76" spans="1:5" s="46" customFormat="1" ht="15" customHeight="1">
      <c r="A76" s="132"/>
      <c r="B76" s="133"/>
      <c r="C76" s="133"/>
      <c r="D76" s="133"/>
      <c r="E76" s="47"/>
    </row>
    <row r="77" spans="1:5" s="46" customFormat="1" ht="15" customHeight="1">
      <c r="A77" s="132"/>
      <c r="B77" s="133"/>
      <c r="C77" s="133"/>
      <c r="D77" s="133"/>
      <c r="E77" s="47"/>
    </row>
    <row r="78" spans="1:5" s="46" customFormat="1" ht="15" customHeight="1">
      <c r="A78" s="132"/>
      <c r="B78" s="133"/>
      <c r="C78" s="133"/>
      <c r="D78" s="133"/>
      <c r="E78" s="47"/>
    </row>
    <row r="79" spans="1:5" s="46" customFormat="1" ht="15" customHeight="1">
      <c r="A79" s="132"/>
      <c r="B79" s="133"/>
      <c r="C79" s="133"/>
      <c r="D79" s="133"/>
      <c r="E79" s="47"/>
    </row>
    <row r="80" spans="1:5" s="46" customFormat="1" ht="15" customHeight="1">
      <c r="A80" s="132"/>
      <c r="B80" s="133"/>
      <c r="C80" s="133"/>
      <c r="D80" s="133"/>
      <c r="E80" s="47"/>
    </row>
    <row r="81" spans="1:5" s="46" customFormat="1" ht="15" customHeight="1">
      <c r="A81" s="132"/>
      <c r="B81" s="133"/>
      <c r="C81" s="133"/>
      <c r="D81" s="133"/>
      <c r="E81" s="47"/>
    </row>
    <row r="82" spans="1:5" s="46" customFormat="1" ht="15" customHeight="1">
      <c r="A82" s="132"/>
      <c r="B82" s="133"/>
      <c r="C82" s="133"/>
      <c r="D82" s="133"/>
      <c r="E82" s="47"/>
    </row>
    <row r="83" spans="1:5" s="46" customFormat="1" ht="15" customHeight="1">
      <c r="A83" s="132"/>
      <c r="B83" s="133"/>
      <c r="C83" s="133"/>
      <c r="D83" s="133"/>
      <c r="E83" s="47"/>
    </row>
    <row r="84" spans="1:5" s="46" customFormat="1" ht="15" customHeight="1">
      <c r="A84" s="132"/>
      <c r="B84" s="133"/>
      <c r="C84" s="133"/>
      <c r="D84" s="133"/>
      <c r="E84" s="47"/>
    </row>
    <row r="85" spans="1:5" s="46" customFormat="1" ht="15" customHeight="1">
      <c r="A85" s="132"/>
      <c r="B85" s="133"/>
      <c r="C85" s="133"/>
      <c r="D85" s="133"/>
      <c r="E85" s="47"/>
    </row>
    <row r="86" spans="1:5" s="46" customFormat="1" ht="15" customHeight="1">
      <c r="A86" s="132"/>
      <c r="B86" s="133"/>
      <c r="C86" s="133"/>
      <c r="D86" s="133"/>
      <c r="E86" s="47"/>
    </row>
    <row r="87" spans="1:5" s="46" customFormat="1" ht="15" customHeight="1">
      <c r="A87" s="132"/>
      <c r="B87" s="133"/>
      <c r="C87" s="133"/>
      <c r="D87" s="133"/>
      <c r="E87" s="47"/>
    </row>
    <row r="88" spans="1:5" s="46" customFormat="1" ht="15" customHeight="1">
      <c r="A88" s="132"/>
      <c r="B88" s="133"/>
      <c r="C88" s="133"/>
      <c r="D88" s="133"/>
      <c r="E88" s="47"/>
    </row>
    <row r="89" spans="1:5" s="46" customFormat="1" ht="15" customHeight="1">
      <c r="A89" s="132"/>
      <c r="B89" s="133"/>
      <c r="C89" s="130"/>
      <c r="D89" s="130"/>
      <c r="E89" s="47"/>
    </row>
    <row r="90" spans="1:5" s="46" customFormat="1" ht="15" customHeight="1">
      <c r="A90" s="132"/>
      <c r="B90" s="133"/>
      <c r="C90" s="130"/>
      <c r="D90" s="130"/>
      <c r="E90" s="47"/>
    </row>
    <row r="91" spans="1:5" s="46" customFormat="1" ht="15" customHeight="1">
      <c r="A91" s="132"/>
      <c r="B91" s="133"/>
      <c r="C91" s="130"/>
      <c r="D91" s="130"/>
      <c r="E91" s="47"/>
    </row>
    <row r="92" spans="1:5" s="46" customFormat="1" ht="15" customHeight="1">
      <c r="A92" s="132"/>
      <c r="B92" s="130"/>
      <c r="C92" s="130"/>
      <c r="D92" s="130"/>
      <c r="E92" s="47"/>
    </row>
    <row r="93" spans="1:5" s="46" customFormat="1" ht="15" customHeight="1">
      <c r="A93" s="132"/>
      <c r="B93" s="130"/>
      <c r="C93" s="130"/>
      <c r="D93" s="130"/>
      <c r="E93" s="47"/>
    </row>
    <row r="94" spans="1:5" s="46" customFormat="1" ht="15" customHeight="1">
      <c r="A94" s="132"/>
      <c r="B94" s="130"/>
      <c r="C94" s="130"/>
      <c r="D94" s="130"/>
      <c r="E94" s="47"/>
    </row>
    <row r="95" spans="1:5" s="46" customFormat="1" ht="15" customHeight="1">
      <c r="A95" s="132"/>
      <c r="B95" s="130"/>
      <c r="C95" s="130"/>
      <c r="D95" s="130"/>
      <c r="E95" s="47"/>
    </row>
    <row r="96" spans="1:5" s="46" customFormat="1" ht="15" customHeight="1">
      <c r="A96" s="132"/>
      <c r="B96" s="130"/>
      <c r="C96" s="130"/>
      <c r="D96" s="130"/>
      <c r="E96" s="47"/>
    </row>
    <row r="97" spans="1:5" s="46" customFormat="1" ht="15" customHeight="1">
      <c r="A97" s="132"/>
      <c r="B97" s="130"/>
      <c r="C97" s="130"/>
      <c r="D97" s="130"/>
      <c r="E97" s="47"/>
    </row>
    <row r="98" spans="1:5" s="46" customFormat="1" ht="15" customHeight="1">
      <c r="A98" s="132"/>
      <c r="B98" s="130"/>
      <c r="C98" s="130"/>
      <c r="D98" s="130"/>
      <c r="E98" s="47"/>
    </row>
    <row r="99" spans="1:5" s="46" customFormat="1" ht="15" customHeight="1">
      <c r="A99" s="132"/>
      <c r="B99" s="130"/>
      <c r="C99" s="130"/>
      <c r="D99" s="130"/>
      <c r="E99" s="47"/>
    </row>
    <row r="100" spans="1:5" s="46" customFormat="1" ht="15" customHeight="1">
      <c r="A100" s="132"/>
      <c r="B100" s="130"/>
      <c r="C100" s="130"/>
      <c r="D100" s="130"/>
      <c r="E100" s="47"/>
    </row>
    <row r="101" spans="1:5" s="46" customFormat="1" ht="15" customHeight="1">
      <c r="A101" s="132"/>
      <c r="B101" s="130"/>
      <c r="C101" s="130"/>
      <c r="D101" s="130"/>
      <c r="E101" s="47"/>
    </row>
    <row r="102" spans="1:5" s="46" customFormat="1" ht="15" customHeight="1">
      <c r="A102" s="132"/>
      <c r="B102" s="130"/>
      <c r="C102" s="130"/>
      <c r="D102" s="130"/>
      <c r="E102" s="47"/>
    </row>
    <row r="103" spans="1:5" s="46" customFormat="1" ht="15" customHeight="1">
      <c r="A103" s="132"/>
      <c r="B103" s="130"/>
      <c r="C103" s="130"/>
      <c r="D103" s="130"/>
      <c r="E103" s="47"/>
    </row>
    <row r="104" spans="1:5" s="46" customFormat="1" ht="15" customHeight="1">
      <c r="A104" s="132"/>
      <c r="B104" s="130"/>
      <c r="C104" s="130"/>
      <c r="D104" s="130"/>
      <c r="E104" s="47"/>
    </row>
    <row r="105" spans="1:5" s="46" customFormat="1" ht="15" customHeight="1">
      <c r="A105" s="132"/>
      <c r="B105" s="130"/>
      <c r="C105" s="130"/>
      <c r="D105" s="130"/>
      <c r="E105" s="47"/>
    </row>
    <row r="106" spans="1:5" s="46" customFormat="1" ht="15" customHeight="1">
      <c r="A106" s="132"/>
      <c r="B106" s="130"/>
      <c r="C106" s="130"/>
      <c r="D106" s="130"/>
      <c r="E106" s="47"/>
    </row>
    <row r="107" spans="1:5" s="46" customFormat="1" ht="15" customHeight="1">
      <c r="A107" s="132"/>
      <c r="B107" s="130"/>
      <c r="C107" s="130"/>
      <c r="D107" s="130"/>
      <c r="E107" s="47"/>
    </row>
    <row r="108" spans="1:5" s="46" customFormat="1" ht="15" customHeight="1">
      <c r="A108" s="132"/>
      <c r="B108" s="130"/>
      <c r="C108" s="130"/>
      <c r="D108" s="130"/>
      <c r="E108" s="47"/>
    </row>
    <row r="109" spans="1:5" s="46" customFormat="1" ht="15" customHeight="1">
      <c r="A109" s="132"/>
      <c r="B109" s="130"/>
      <c r="C109" s="130"/>
      <c r="D109" s="130"/>
      <c r="E109" s="47"/>
    </row>
    <row r="110" spans="1:5" s="46" customFormat="1" ht="15" customHeight="1">
      <c r="A110" s="132"/>
      <c r="B110" s="130"/>
      <c r="C110" s="130"/>
      <c r="D110" s="130"/>
      <c r="E110" s="47"/>
    </row>
    <row r="111" spans="1:5" s="46" customFormat="1" ht="15" customHeight="1">
      <c r="A111" s="132"/>
      <c r="B111" s="130"/>
      <c r="C111" s="130"/>
      <c r="D111" s="130"/>
      <c r="E111" s="47"/>
    </row>
    <row r="112" spans="1:5" s="46" customFormat="1" ht="15" customHeight="1">
      <c r="A112" s="132"/>
      <c r="B112" s="130"/>
      <c r="C112" s="130"/>
      <c r="D112" s="130"/>
      <c r="E112" s="47"/>
    </row>
    <row r="113" spans="1:5" s="46" customFormat="1" ht="15" customHeight="1">
      <c r="A113" s="132"/>
      <c r="B113" s="130"/>
      <c r="C113" s="130"/>
      <c r="D113" s="130"/>
      <c r="E113" s="47"/>
    </row>
    <row r="114" spans="1:5" s="46" customFormat="1" ht="15" customHeight="1">
      <c r="A114" s="132"/>
      <c r="B114" s="130"/>
      <c r="C114" s="130"/>
      <c r="D114" s="130"/>
      <c r="E114" s="47"/>
    </row>
    <row r="115" spans="1:5" s="46" customFormat="1" ht="15" customHeight="1">
      <c r="A115" s="132"/>
      <c r="B115" s="130"/>
      <c r="C115" s="130"/>
      <c r="D115" s="130"/>
      <c r="E115" s="47"/>
    </row>
    <row r="116" spans="1:5" s="46" customFormat="1" ht="15" customHeight="1">
      <c r="A116" s="132"/>
      <c r="B116" s="130"/>
      <c r="C116" s="130"/>
      <c r="D116" s="130"/>
      <c r="E116" s="47"/>
    </row>
    <row r="117" spans="1:5" s="46" customFormat="1" ht="15" customHeight="1">
      <c r="A117" s="132"/>
      <c r="B117" s="130"/>
      <c r="C117" s="130"/>
      <c r="D117" s="130"/>
      <c r="E117" s="47"/>
    </row>
    <row r="118" spans="1:5" s="46" customFormat="1" ht="15" customHeight="1">
      <c r="A118" s="132"/>
      <c r="B118" s="130"/>
      <c r="C118" s="130"/>
      <c r="D118" s="130"/>
      <c r="E118" s="47"/>
    </row>
    <row r="119" spans="1:5" s="46" customFormat="1" ht="15" customHeight="1">
      <c r="A119" s="132"/>
      <c r="B119" s="130"/>
      <c r="C119" s="130"/>
      <c r="D119" s="130"/>
      <c r="E119" s="47"/>
    </row>
    <row r="120" spans="1:5" s="46" customFormat="1" ht="15" customHeight="1">
      <c r="A120" s="132"/>
      <c r="B120" s="130"/>
      <c r="C120" s="130"/>
      <c r="D120" s="130"/>
      <c r="E120" s="47"/>
    </row>
    <row r="121" spans="1:5" s="46" customFormat="1" ht="15" customHeight="1">
      <c r="A121" s="131"/>
      <c r="B121" s="130"/>
      <c r="C121" s="130"/>
      <c r="D121" s="130"/>
      <c r="E121" s="47"/>
    </row>
    <row r="122" spans="1:5" s="46" customFormat="1" ht="15" customHeight="1">
      <c r="A122" s="131"/>
      <c r="B122" s="130"/>
      <c r="C122" s="130"/>
      <c r="D122" s="130"/>
      <c r="E122" s="47"/>
    </row>
    <row r="123" spans="1:5" s="46" customFormat="1" ht="15" customHeight="1">
      <c r="A123" s="131"/>
      <c r="B123" s="130"/>
      <c r="C123" s="130"/>
      <c r="D123" s="130"/>
      <c r="E123" s="47"/>
    </row>
    <row r="124" spans="1:5" s="46" customFormat="1" ht="15" customHeight="1">
      <c r="A124" s="131"/>
      <c r="B124" s="130"/>
      <c r="C124" s="130"/>
      <c r="D124" s="130"/>
      <c r="E124" s="47"/>
    </row>
    <row r="125" spans="1:5" s="46" customFormat="1" ht="15" customHeight="1">
      <c r="A125" s="131"/>
      <c r="B125" s="130"/>
      <c r="C125" s="130"/>
      <c r="D125" s="130"/>
      <c r="E125" s="47"/>
    </row>
    <row r="126" spans="1:5" s="46" customFormat="1" ht="15" customHeight="1">
      <c r="A126" s="131"/>
      <c r="B126" s="130"/>
      <c r="C126" s="130"/>
      <c r="D126" s="130"/>
      <c r="E126" s="47"/>
    </row>
    <row r="127" spans="1:5" s="46" customFormat="1" ht="15" customHeight="1">
      <c r="A127" s="131"/>
      <c r="B127" s="130"/>
      <c r="C127" s="130"/>
      <c r="D127" s="130"/>
      <c r="E127" s="47"/>
    </row>
    <row r="128" ht="15" customHeight="1">
      <c r="A128" s="129"/>
    </row>
    <row r="129" s="70" customFormat="1" ht="15" customHeight="1">
      <c r="A129" s="129"/>
    </row>
    <row r="130" s="70" customFormat="1" ht="15" customHeight="1">
      <c r="A130" s="129"/>
    </row>
    <row r="131" s="70" customFormat="1" ht="15" customHeight="1">
      <c r="A131" s="129"/>
    </row>
    <row r="132" s="70" customFormat="1" ht="15" customHeight="1">
      <c r="A132" s="129"/>
    </row>
    <row r="133" s="70" customFormat="1" ht="15" customHeight="1">
      <c r="A133" s="129"/>
    </row>
    <row r="134" s="70" customFormat="1" ht="15" customHeight="1">
      <c r="A134" s="129"/>
    </row>
    <row r="135" s="70" customFormat="1" ht="15" customHeight="1">
      <c r="A135" s="129"/>
    </row>
    <row r="136" s="70" customFormat="1" ht="15" customHeight="1">
      <c r="A136" s="129"/>
    </row>
    <row r="137" s="70" customFormat="1" ht="15" customHeight="1">
      <c r="A137" s="129"/>
    </row>
    <row r="138" s="70" customFormat="1" ht="15" customHeight="1">
      <c r="A138" s="129"/>
    </row>
    <row r="139" s="70" customFormat="1" ht="15" customHeight="1">
      <c r="A139" s="129"/>
    </row>
    <row r="140" s="70" customFormat="1" ht="15" customHeight="1">
      <c r="A140" s="129"/>
    </row>
    <row r="141" s="70" customFormat="1" ht="15" customHeight="1">
      <c r="A141" s="129"/>
    </row>
    <row r="142" s="70" customFormat="1" ht="15" customHeight="1">
      <c r="A142" s="129"/>
    </row>
    <row r="143" s="70" customFormat="1" ht="15" customHeight="1">
      <c r="A143" s="129"/>
    </row>
    <row r="144" s="70" customFormat="1" ht="15" customHeight="1">
      <c r="A144" s="129"/>
    </row>
    <row r="145" s="70" customFormat="1" ht="15" customHeight="1">
      <c r="A145" s="129"/>
    </row>
    <row r="146" s="70" customFormat="1" ht="15" customHeight="1">
      <c r="A146" s="129"/>
    </row>
    <row r="147" s="70" customFormat="1" ht="15" customHeight="1">
      <c r="A147" s="129"/>
    </row>
    <row r="148" s="70" customFormat="1" ht="15" customHeight="1">
      <c r="A148" s="129"/>
    </row>
    <row r="149" s="70" customFormat="1" ht="15" customHeight="1">
      <c r="A149" s="129"/>
    </row>
    <row r="150" s="70" customFormat="1" ht="15" customHeight="1">
      <c r="A150" s="129"/>
    </row>
    <row r="151" s="70" customFormat="1" ht="15" customHeight="1">
      <c r="A151" s="129"/>
    </row>
    <row r="152" s="70" customFormat="1" ht="15" customHeight="1">
      <c r="A152" s="129"/>
    </row>
    <row r="153" s="70" customFormat="1" ht="15" customHeight="1">
      <c r="A153" s="129"/>
    </row>
    <row r="154" s="70" customFormat="1" ht="15" customHeight="1">
      <c r="A154" s="129"/>
    </row>
    <row r="155" s="70" customFormat="1" ht="15" customHeight="1">
      <c r="A155" s="129"/>
    </row>
    <row r="156" s="70" customFormat="1" ht="15" customHeight="1">
      <c r="A156" s="129"/>
    </row>
    <row r="157" s="70" customFormat="1" ht="15" customHeight="1">
      <c r="A157" s="129"/>
    </row>
    <row r="158" s="70" customFormat="1" ht="15" customHeight="1">
      <c r="A158" s="129"/>
    </row>
    <row r="159" s="70" customFormat="1" ht="15" customHeight="1">
      <c r="A159" s="129"/>
    </row>
    <row r="160" s="70" customFormat="1" ht="15" customHeight="1">
      <c r="A160" s="129"/>
    </row>
    <row r="161" s="70" customFormat="1" ht="15" customHeight="1">
      <c r="A161" s="129"/>
    </row>
  </sheetData>
  <sheetProtection/>
  <mergeCells count="5">
    <mergeCell ref="A5:D5"/>
    <mergeCell ref="A1:D1"/>
    <mergeCell ref="A2:D2"/>
    <mergeCell ref="A3:D3"/>
    <mergeCell ref="A4:D4"/>
  </mergeCells>
  <printOptions horizontalCentered="1"/>
  <pageMargins left="0.25" right="0.25" top="0.5" bottom="0.5" header="0.25" footer="0.25"/>
  <pageSetup horizontalDpi="600" verticalDpi="600" orientation="portrait" scale="75" r:id="rId1"/>
  <headerFooter alignWithMargins="0">
    <oddFooter>&amp;CPage 6
</oddFooter>
  </headerFooter>
</worksheet>
</file>

<file path=xl/worksheets/sheet7.xml><?xml version="1.0" encoding="utf-8"?>
<worksheet xmlns="http://schemas.openxmlformats.org/spreadsheetml/2006/main" xmlns:r="http://schemas.openxmlformats.org/officeDocument/2006/relationships">
  <dimension ref="A1:F33"/>
  <sheetViews>
    <sheetView zoomScalePageLayoutView="0" workbookViewId="0" topLeftCell="A1">
      <selection activeCell="A1" sqref="A1"/>
    </sheetView>
  </sheetViews>
  <sheetFormatPr defaultColWidth="15.7109375" defaultRowHeight="15" customHeight="1"/>
  <cols>
    <col min="1" max="1" width="50.7109375" style="169" customWidth="1"/>
    <col min="2" max="6" width="18.7109375" style="170" customWidth="1"/>
    <col min="7" max="16384" width="15.7109375" style="169" customWidth="1"/>
  </cols>
  <sheetData>
    <row r="1" spans="1:6" s="210" customFormat="1" ht="30" customHeight="1">
      <c r="A1" s="213" t="s">
        <v>38</v>
      </c>
      <c r="B1" s="212"/>
      <c r="C1" s="212"/>
      <c r="D1" s="212"/>
      <c r="E1" s="212"/>
      <c r="F1" s="211"/>
    </row>
    <row r="2" spans="1:6" s="206" customFormat="1" ht="15" customHeight="1">
      <c r="A2" s="209"/>
      <c r="B2" s="208"/>
      <c r="C2" s="208"/>
      <c r="D2" s="208"/>
      <c r="E2" s="208"/>
      <c r="F2" s="207"/>
    </row>
    <row r="3" spans="1:6" ht="15" customHeight="1">
      <c r="A3" s="205" t="s">
        <v>173</v>
      </c>
      <c r="B3" s="204"/>
      <c r="C3" s="204"/>
      <c r="D3" s="204"/>
      <c r="E3" s="204"/>
      <c r="F3" s="203"/>
    </row>
    <row r="4" spans="1:6" ht="15" customHeight="1">
      <c r="A4" s="205" t="s">
        <v>155</v>
      </c>
      <c r="B4" s="204"/>
      <c r="C4" s="204"/>
      <c r="D4" s="204"/>
      <c r="E4" s="204"/>
      <c r="F4" s="203"/>
    </row>
    <row r="5" spans="1:6" s="1" customFormat="1" ht="15" customHeight="1">
      <c r="A5" s="202"/>
      <c r="B5" s="201"/>
      <c r="C5" s="201"/>
      <c r="D5" s="201"/>
      <c r="E5" s="201"/>
      <c r="F5" s="201"/>
    </row>
    <row r="6" spans="2:6" s="1" customFormat="1" ht="30" customHeight="1">
      <c r="B6" s="329" t="s">
        <v>104</v>
      </c>
      <c r="C6" s="329" t="s">
        <v>103</v>
      </c>
      <c r="D6" s="329" t="s">
        <v>102</v>
      </c>
      <c r="E6" s="329" t="s">
        <v>101</v>
      </c>
      <c r="F6" s="330" t="s">
        <v>100</v>
      </c>
    </row>
    <row r="7" spans="1:6" s="197" customFormat="1" ht="15" customHeight="1">
      <c r="A7" s="200" t="s">
        <v>172</v>
      </c>
      <c r="B7" s="13"/>
      <c r="C7" s="13"/>
      <c r="D7" s="13"/>
      <c r="E7" s="13"/>
      <c r="F7" s="13"/>
    </row>
    <row r="8" spans="1:6" s="1" customFormat="1" ht="15" customHeight="1">
      <c r="A8" s="182" t="s">
        <v>171</v>
      </c>
      <c r="B8" s="199"/>
      <c r="C8" s="199"/>
      <c r="D8" s="199"/>
      <c r="E8" s="199"/>
      <c r="F8" s="199"/>
    </row>
    <row r="9" spans="1:6" s="197" customFormat="1" ht="15" customHeight="1">
      <c r="A9" s="181" t="s">
        <v>165</v>
      </c>
      <c r="B9" s="198">
        <f>-'[1]Trial Balance'!C225</f>
        <v>2147668</v>
      </c>
      <c r="C9" s="198">
        <f>-'[1]Trial Balance'!C221</f>
        <v>-23080</v>
      </c>
      <c r="D9" s="198">
        <f>-'[1]Trial Balance'!C218</f>
        <v>-91</v>
      </c>
      <c r="E9" s="193">
        <v>0</v>
      </c>
      <c r="F9" s="198">
        <f>SUM(B9:E9)</f>
        <v>2124497</v>
      </c>
    </row>
    <row r="10" spans="1:6" s="1" customFormat="1" ht="15" customHeight="1">
      <c r="A10" s="181" t="s">
        <v>164</v>
      </c>
      <c r="B10" s="196">
        <f>-'[1]Trial Balance'!C226</f>
        <v>734191</v>
      </c>
      <c r="C10" s="195">
        <f>-'[1]Trial Balance'!C222</f>
        <v>-6655</v>
      </c>
      <c r="D10" s="195">
        <f>-'[1]Trial Balance'!C219</f>
        <v>-83</v>
      </c>
      <c r="E10" s="193">
        <v>0</v>
      </c>
      <c r="F10" s="30">
        <f>SUM(B10:E10)</f>
        <v>727453</v>
      </c>
    </row>
    <row r="11" spans="1:6" s="1" customFormat="1" ht="15" customHeight="1">
      <c r="A11" s="181" t="s">
        <v>163</v>
      </c>
      <c r="B11" s="196">
        <f>-'[1]Trial Balance'!C227</f>
        <v>9217</v>
      </c>
      <c r="C11" s="195">
        <f>-'[1]Trial Balance'!C223</f>
        <v>-155</v>
      </c>
      <c r="D11" s="193">
        <v>0</v>
      </c>
      <c r="E11" s="193">
        <v>0</v>
      </c>
      <c r="F11" s="30">
        <f>SUM(B11:E11)</f>
        <v>9062</v>
      </c>
    </row>
    <row r="12" spans="1:6" s="29" customFormat="1" ht="15" customHeight="1" thickBot="1">
      <c r="A12" s="176" t="s">
        <v>162</v>
      </c>
      <c r="B12" s="188">
        <f>SUM(B9:B11)</f>
        <v>2891076</v>
      </c>
      <c r="C12" s="194">
        <f>SUM(C9:C11)</f>
        <v>-29890</v>
      </c>
      <c r="D12" s="194">
        <f>SUM(D9:D11)</f>
        <v>-174</v>
      </c>
      <c r="E12" s="191">
        <f>SUM(E9:E11)</f>
        <v>0</v>
      </c>
      <c r="F12" s="190">
        <f>SUM(F9:F11)</f>
        <v>2861012</v>
      </c>
    </row>
    <row r="13" spans="1:6" s="29" customFormat="1" ht="15" customHeight="1" thickTop="1">
      <c r="A13" s="181"/>
      <c r="B13" s="180"/>
      <c r="C13" s="180"/>
      <c r="D13" s="180"/>
      <c r="E13" s="180"/>
      <c r="F13" s="171"/>
    </row>
    <row r="14" spans="1:6" s="29" customFormat="1" ht="30" customHeight="1">
      <c r="A14" s="182" t="s">
        <v>170</v>
      </c>
      <c r="B14" s="180"/>
      <c r="C14" s="180"/>
      <c r="D14" s="180"/>
      <c r="E14" s="180"/>
      <c r="F14" s="180"/>
    </row>
    <row r="15" spans="1:6" s="29" customFormat="1" ht="15" customHeight="1">
      <c r="A15" s="181" t="s">
        <v>165</v>
      </c>
      <c r="B15" s="180">
        <f>-'[1]Trial Balance'!E71</f>
        <v>3169406.36</v>
      </c>
      <c r="C15" s="180">
        <f>-'[1]Trial Balance'!E67</f>
        <v>1077543.05</v>
      </c>
      <c r="D15" s="193">
        <v>0</v>
      </c>
      <c r="E15" s="193">
        <v>0</v>
      </c>
      <c r="F15" s="30">
        <f>SUM(B15:E15)</f>
        <v>4246949.41</v>
      </c>
    </row>
    <row r="16" spans="1:6" s="29" customFormat="1" ht="15" customHeight="1">
      <c r="A16" s="181" t="s">
        <v>169</v>
      </c>
      <c r="B16" s="180">
        <f>-'[1]Trial Balance'!E72</f>
        <v>1010421.17</v>
      </c>
      <c r="C16" s="180">
        <f>-'[1]Trial Balance'!E68</f>
        <v>311635.62</v>
      </c>
      <c r="D16" s="193">
        <v>0</v>
      </c>
      <c r="E16" s="193">
        <v>0</v>
      </c>
      <c r="F16" s="30">
        <f>SUM(B16:E16)</f>
        <v>1322056.79</v>
      </c>
    </row>
    <row r="17" spans="1:6" s="29" customFormat="1" ht="15" customHeight="1">
      <c r="A17" s="181" t="s">
        <v>168</v>
      </c>
      <c r="B17" s="180">
        <f>-'[1]Trial Balance'!E73</f>
        <v>11885.2</v>
      </c>
      <c r="C17" s="180">
        <f>-'[1]Trial Balance'!E69</f>
        <v>3705.59</v>
      </c>
      <c r="D17" s="193">
        <v>0</v>
      </c>
      <c r="E17" s="193">
        <v>0</v>
      </c>
      <c r="F17" s="192">
        <f>SUM(B17:E17)</f>
        <v>15590.79</v>
      </c>
    </row>
    <row r="18" spans="1:6" s="29" customFormat="1" ht="15" customHeight="1" thickBot="1">
      <c r="A18" s="176" t="s">
        <v>162</v>
      </c>
      <c r="B18" s="188">
        <f>SUM(B15:B17)-1</f>
        <v>4191711.73</v>
      </c>
      <c r="C18" s="188">
        <f>SUM(C15:C17)+1</f>
        <v>1392885.26</v>
      </c>
      <c r="D18" s="191">
        <f>SUM(D15:D17)</f>
        <v>0</v>
      </c>
      <c r="E18" s="191">
        <f>SUM(E15:E17)</f>
        <v>0</v>
      </c>
      <c r="F18" s="190">
        <f>SUM(F15:F17)</f>
        <v>5584596.99</v>
      </c>
    </row>
    <row r="19" spans="1:6" s="29" customFormat="1" ht="15" customHeight="1" thickTop="1">
      <c r="A19" s="181"/>
      <c r="B19" s="180"/>
      <c r="C19" s="180"/>
      <c r="D19" s="180"/>
      <c r="E19" s="180"/>
      <c r="F19" s="171"/>
    </row>
    <row r="20" spans="1:6" s="29" customFormat="1" ht="30" customHeight="1">
      <c r="A20" s="182" t="s">
        <v>167</v>
      </c>
      <c r="B20" s="189"/>
      <c r="C20" s="189"/>
      <c r="D20" s="189"/>
      <c r="E20" s="189"/>
      <c r="F20" s="180"/>
    </row>
    <row r="21" spans="1:6" s="29" customFormat="1" ht="15" customHeight="1">
      <c r="A21" s="181" t="s">
        <v>165</v>
      </c>
      <c r="B21" s="180">
        <v>1812870.79</v>
      </c>
      <c r="C21" s="180">
        <v>2452010.53</v>
      </c>
      <c r="D21" s="177">
        <v>0</v>
      </c>
      <c r="E21" s="177">
        <v>0</v>
      </c>
      <c r="F21" s="30">
        <f>SUM(B21:E21)+1</f>
        <v>4264882.32</v>
      </c>
    </row>
    <row r="22" spans="1:6" s="29" customFormat="1" ht="15" customHeight="1">
      <c r="A22" s="181" t="s">
        <v>164</v>
      </c>
      <c r="B22" s="180">
        <v>516092.75</v>
      </c>
      <c r="C22" s="180">
        <v>717722.95</v>
      </c>
      <c r="D22" s="177">
        <v>0</v>
      </c>
      <c r="E22" s="177">
        <v>0</v>
      </c>
      <c r="F22" s="30">
        <f>SUM(B22:E22)</f>
        <v>1233815.7</v>
      </c>
    </row>
    <row r="23" spans="1:6" s="29" customFormat="1" ht="15" customHeight="1">
      <c r="A23" s="181" t="s">
        <v>163</v>
      </c>
      <c r="B23" s="180">
        <v>5217.94</v>
      </c>
      <c r="C23" s="180">
        <v>8606.55</v>
      </c>
      <c r="D23" s="177">
        <v>0</v>
      </c>
      <c r="E23" s="177">
        <v>0</v>
      </c>
      <c r="F23" s="30">
        <f>SUM(B23:E23)+1</f>
        <v>13825.489999999998</v>
      </c>
    </row>
    <row r="24" spans="1:6" s="29" customFormat="1" ht="15" customHeight="1" thickBot="1">
      <c r="A24" s="176" t="s">
        <v>162</v>
      </c>
      <c r="B24" s="188">
        <f>SUM(B21:B23)+1</f>
        <v>2334182.48</v>
      </c>
      <c r="C24" s="188">
        <f>SUM(C21:C23)+1</f>
        <v>3178341.0299999993</v>
      </c>
      <c r="D24" s="187">
        <f>SUM(D21:D23)</f>
        <v>0</v>
      </c>
      <c r="E24" s="187">
        <f>SUM(E21:E23)</f>
        <v>0</v>
      </c>
      <c r="F24" s="186">
        <f>SUM(B24:E24)-1</f>
        <v>5512522.51</v>
      </c>
    </row>
    <row r="25" spans="1:6" s="183" customFormat="1" ht="15" customHeight="1" thickTop="1">
      <c r="A25" s="185"/>
      <c r="B25" s="180"/>
      <c r="C25" s="180"/>
      <c r="D25" s="180"/>
      <c r="E25" s="180"/>
      <c r="F25" s="184"/>
    </row>
    <row r="26" spans="1:6" s="29" customFormat="1" ht="15" customHeight="1">
      <c r="A26" s="182" t="s">
        <v>166</v>
      </c>
      <c r="B26" s="180"/>
      <c r="C26" s="180"/>
      <c r="D26" s="180"/>
      <c r="E26" s="180"/>
      <c r="F26" s="180"/>
    </row>
    <row r="27" spans="1:6" s="29" customFormat="1" ht="15" customHeight="1">
      <c r="A27" s="181" t="s">
        <v>165</v>
      </c>
      <c r="B27" s="180">
        <f>B9-(B15-B21)+1</f>
        <v>791133.4300000002</v>
      </c>
      <c r="C27" s="180">
        <f>C9-(C15-C21)+1</f>
        <v>1351388.4799999997</v>
      </c>
      <c r="D27" s="179">
        <f aca="true" t="shared" si="0" ref="D27:E29">D9-(D15-D21)</f>
        <v>-91</v>
      </c>
      <c r="E27" s="177">
        <f t="shared" si="0"/>
        <v>0</v>
      </c>
      <c r="F27" s="30">
        <f>SUM(B27:E27)-1</f>
        <v>2142429.91</v>
      </c>
    </row>
    <row r="28" spans="1:6" s="29" customFormat="1" ht="15" customHeight="1">
      <c r="A28" s="181" t="s">
        <v>164</v>
      </c>
      <c r="B28" s="180">
        <f>B10-(B16-B22)</f>
        <v>239862.57999999996</v>
      </c>
      <c r="C28" s="180">
        <f>C10-(C16-C22)</f>
        <v>399432.32999999996</v>
      </c>
      <c r="D28" s="179">
        <f t="shared" si="0"/>
        <v>-83</v>
      </c>
      <c r="E28" s="177">
        <f t="shared" si="0"/>
        <v>0</v>
      </c>
      <c r="F28" s="30">
        <f>SUM(B28:E28)</f>
        <v>639211.9099999999</v>
      </c>
    </row>
    <row r="29" spans="1:6" s="29" customFormat="1" ht="15" customHeight="1">
      <c r="A29" s="178" t="s">
        <v>163</v>
      </c>
      <c r="B29" s="30">
        <f>B11-(B17-B23)</f>
        <v>2549.739999999999</v>
      </c>
      <c r="C29" s="30">
        <f>C11-(C17-C23)</f>
        <v>4745.959999999999</v>
      </c>
      <c r="D29" s="177">
        <f t="shared" si="0"/>
        <v>0</v>
      </c>
      <c r="E29" s="177">
        <f t="shared" si="0"/>
        <v>0</v>
      </c>
      <c r="F29" s="30">
        <f>SUM(B29:E29)</f>
        <v>7295.699999999998</v>
      </c>
    </row>
    <row r="30" spans="1:6" s="29" customFormat="1" ht="15" customHeight="1" thickBot="1">
      <c r="A30" s="176" t="s">
        <v>162</v>
      </c>
      <c r="B30" s="172">
        <f>SUM(B27:B29)</f>
        <v>1033545.7500000001</v>
      </c>
      <c r="C30" s="175">
        <f>SUM(C27:C29)-1</f>
        <v>1755565.7699999996</v>
      </c>
      <c r="D30" s="174">
        <f>SUM(D27:D29)</f>
        <v>-174</v>
      </c>
      <c r="E30" s="173">
        <f>SUM(E27:E29)</f>
        <v>0</v>
      </c>
      <c r="F30" s="172">
        <f>SUM(F27:F29)</f>
        <v>2788937.5200000005</v>
      </c>
    </row>
    <row r="31" spans="2:6" s="1" customFormat="1" ht="15" customHeight="1" thickTop="1">
      <c r="B31" s="171"/>
      <c r="C31" s="171"/>
      <c r="D31" s="171"/>
      <c r="E31" s="171"/>
      <c r="F31" s="171"/>
    </row>
    <row r="32" spans="1:6" s="1" customFormat="1" ht="15" customHeight="1">
      <c r="A32" s="312" t="s">
        <v>161</v>
      </c>
      <c r="B32" s="313"/>
      <c r="C32" s="313"/>
      <c r="D32" s="313"/>
      <c r="E32" s="312"/>
      <c r="F32" s="312"/>
    </row>
    <row r="33" spans="1:6" s="1" customFormat="1" ht="15" customHeight="1">
      <c r="A33" s="312"/>
      <c r="B33" s="313"/>
      <c r="C33" s="313"/>
      <c r="D33" s="313"/>
      <c r="E33" s="312"/>
      <c r="F33" s="312"/>
    </row>
  </sheetData>
  <sheetProtection/>
  <mergeCells count="1">
    <mergeCell ref="A32:F33"/>
  </mergeCells>
  <printOptions horizontalCentered="1"/>
  <pageMargins left="0.25" right="0.25" top="0.5" bottom="0.5" header="0.25" footer="0.25"/>
  <pageSetup horizontalDpi="600" verticalDpi="600" orientation="landscape" scale="80" r:id="rId1"/>
  <headerFooter alignWithMargins="0">
    <oddFooter>&amp;CPage 7</oddFooter>
  </headerFooter>
</worksheet>
</file>

<file path=xl/worksheets/sheet8.xml><?xml version="1.0" encoding="utf-8"?>
<worksheet xmlns="http://schemas.openxmlformats.org/spreadsheetml/2006/main" xmlns:r="http://schemas.openxmlformats.org/officeDocument/2006/relationships">
  <dimension ref="A1:G58"/>
  <sheetViews>
    <sheetView zoomScalePageLayoutView="0" workbookViewId="0" topLeftCell="A1">
      <selection activeCell="A1" sqref="A1"/>
    </sheetView>
  </sheetViews>
  <sheetFormatPr defaultColWidth="15.7109375" defaultRowHeight="15" customHeight="1"/>
  <cols>
    <col min="1" max="1" width="50.7109375" style="169" customWidth="1"/>
    <col min="2" max="6" width="18.7109375" style="170" customWidth="1"/>
    <col min="7" max="16384" width="15.7109375" style="169" customWidth="1"/>
  </cols>
  <sheetData>
    <row r="1" spans="1:6" s="210" customFormat="1" ht="30" customHeight="1">
      <c r="A1" s="213" t="s">
        <v>38</v>
      </c>
      <c r="B1" s="212"/>
      <c r="C1" s="212"/>
      <c r="D1" s="212"/>
      <c r="E1" s="212"/>
      <c r="F1" s="211"/>
    </row>
    <row r="2" spans="1:6" s="206" customFormat="1" ht="15" customHeight="1">
      <c r="A2" s="209"/>
      <c r="B2" s="208"/>
      <c r="C2" s="208"/>
      <c r="D2" s="208"/>
      <c r="E2" s="208"/>
      <c r="F2" s="207"/>
    </row>
    <row r="3" spans="1:6" ht="15" customHeight="1">
      <c r="A3" s="205" t="s">
        <v>173</v>
      </c>
      <c r="B3" s="204"/>
      <c r="C3" s="204"/>
      <c r="D3" s="204"/>
      <c r="E3" s="204"/>
      <c r="F3" s="203"/>
    </row>
    <row r="4" spans="1:6" ht="15" customHeight="1">
      <c r="A4" s="205" t="s">
        <v>160</v>
      </c>
      <c r="B4" s="204"/>
      <c r="C4" s="204"/>
      <c r="D4" s="204"/>
      <c r="E4" s="204"/>
      <c r="F4" s="203"/>
    </row>
    <row r="5" spans="1:6" s="1" customFormat="1" ht="15" customHeight="1">
      <c r="A5" s="202"/>
      <c r="B5" s="201"/>
      <c r="C5" s="201"/>
      <c r="D5" s="201"/>
      <c r="E5" s="201"/>
      <c r="F5" s="201"/>
    </row>
    <row r="6" spans="2:6" s="1" customFormat="1" ht="30" customHeight="1">
      <c r="B6" s="329" t="s">
        <v>104</v>
      </c>
      <c r="C6" s="329" t="s">
        <v>103</v>
      </c>
      <c r="D6" s="329" t="s">
        <v>102</v>
      </c>
      <c r="E6" s="329" t="s">
        <v>101</v>
      </c>
      <c r="F6" s="330" t="s">
        <v>100</v>
      </c>
    </row>
    <row r="7" spans="1:6" s="1" customFormat="1" ht="15" customHeight="1">
      <c r="A7" s="200" t="s">
        <v>172</v>
      </c>
      <c r="B7" s="201"/>
      <c r="C7" s="201"/>
      <c r="D7" s="201"/>
      <c r="E7" s="201"/>
      <c r="F7" s="201"/>
    </row>
    <row r="8" spans="1:6" s="1" customFormat="1" ht="15" customHeight="1">
      <c r="A8" s="182" t="s">
        <v>171</v>
      </c>
      <c r="B8" s="199"/>
      <c r="C8" s="199"/>
      <c r="D8" s="199"/>
      <c r="E8" s="199"/>
      <c r="F8" s="199"/>
    </row>
    <row r="9" spans="1:6" s="197" customFormat="1" ht="15" customHeight="1">
      <c r="A9" s="181" t="s">
        <v>165</v>
      </c>
      <c r="B9" s="198">
        <f>-'[1]Trial Balance'!E225</f>
        <v>4217381</v>
      </c>
      <c r="C9" s="198">
        <f>-'[1]Trial Balance'!E221</f>
        <v>-70985</v>
      </c>
      <c r="D9" s="198">
        <f>-'[1]Trial Balance'!E218</f>
        <v>-628</v>
      </c>
      <c r="E9" s="193">
        <v>0</v>
      </c>
      <c r="F9" s="198">
        <f>SUM(B9:E9)</f>
        <v>4145768</v>
      </c>
    </row>
    <row r="10" spans="1:6" s="1" customFormat="1" ht="15" customHeight="1">
      <c r="A10" s="181" t="s">
        <v>164</v>
      </c>
      <c r="B10" s="196">
        <f>-'[1]Trial Balance'!E226</f>
        <v>1322292</v>
      </c>
      <c r="C10" s="195">
        <f>-'[1]Trial Balance'!E222</f>
        <v>-20514</v>
      </c>
      <c r="D10" s="195">
        <f>-'[1]Trial Balance'!E219</f>
        <v>-217</v>
      </c>
      <c r="E10" s="193">
        <v>0</v>
      </c>
      <c r="F10" s="30">
        <f>SUM(B10:E10)</f>
        <v>1301561</v>
      </c>
    </row>
    <row r="11" spans="1:6" s="1" customFormat="1" ht="15" customHeight="1">
      <c r="A11" s="181" t="s">
        <v>163</v>
      </c>
      <c r="B11" s="196">
        <f>-'[1]Trial Balance'!E227</f>
        <v>15169</v>
      </c>
      <c r="C11" s="195">
        <f>-'[1]Trial Balance'!E223</f>
        <v>-1234</v>
      </c>
      <c r="D11" s="193">
        <v>0</v>
      </c>
      <c r="E11" s="193">
        <v>0</v>
      </c>
      <c r="F11" s="30">
        <f>SUM(B11:E11)</f>
        <v>13935</v>
      </c>
    </row>
    <row r="12" spans="1:6" s="29" customFormat="1" ht="15" customHeight="1" thickBot="1">
      <c r="A12" s="176" t="s">
        <v>162</v>
      </c>
      <c r="B12" s="188">
        <f>SUM(B9:B11)</f>
        <v>5554842</v>
      </c>
      <c r="C12" s="194">
        <f>SUM(C9:C11)</f>
        <v>-92733</v>
      </c>
      <c r="D12" s="194">
        <f>SUM(D9:D11)</f>
        <v>-845</v>
      </c>
      <c r="E12" s="191">
        <f>SUM(E9:E11)</f>
        <v>0</v>
      </c>
      <c r="F12" s="190">
        <f>SUM(F9:F11)</f>
        <v>5461264</v>
      </c>
    </row>
    <row r="13" spans="1:6" s="29" customFormat="1" ht="15" customHeight="1" thickTop="1">
      <c r="A13" s="181"/>
      <c r="B13" s="180"/>
      <c r="C13" s="180"/>
      <c r="D13" s="180"/>
      <c r="E13" s="180"/>
      <c r="F13" s="171"/>
    </row>
    <row r="14" spans="1:6" s="29" customFormat="1" ht="30" customHeight="1">
      <c r="A14" s="182" t="s">
        <v>170</v>
      </c>
      <c r="B14" s="180"/>
      <c r="C14" s="180"/>
      <c r="D14" s="180"/>
      <c r="E14" s="180"/>
      <c r="F14" s="180"/>
    </row>
    <row r="15" spans="1:6" s="29" customFormat="1" ht="15" customHeight="1">
      <c r="A15" s="181" t="s">
        <v>165</v>
      </c>
      <c r="B15" s="180">
        <f>-'[1]Trial Balance'!E71</f>
        <v>3169406.36</v>
      </c>
      <c r="C15" s="180">
        <f>-'[1]Trial Balance'!E67</f>
        <v>1077543.05</v>
      </c>
      <c r="D15" s="193">
        <v>0</v>
      </c>
      <c r="E15" s="193">
        <v>0</v>
      </c>
      <c r="F15" s="30">
        <f>SUM(B15:E15)</f>
        <v>4246949.41</v>
      </c>
    </row>
    <row r="16" spans="1:6" s="29" customFormat="1" ht="15" customHeight="1">
      <c r="A16" s="181" t="s">
        <v>169</v>
      </c>
      <c r="B16" s="180">
        <f>-'[1]Trial Balance'!E72</f>
        <v>1010421.17</v>
      </c>
      <c r="C16" s="180">
        <f>-'[1]Trial Balance'!E68</f>
        <v>311635.62</v>
      </c>
      <c r="D16" s="193">
        <v>0</v>
      </c>
      <c r="E16" s="193">
        <v>0</v>
      </c>
      <c r="F16" s="30">
        <f>SUM(B16:E16)</f>
        <v>1322056.79</v>
      </c>
    </row>
    <row r="17" spans="1:6" s="29" customFormat="1" ht="15" customHeight="1">
      <c r="A17" s="181" t="s">
        <v>168</v>
      </c>
      <c r="B17" s="196">
        <f>-'[1]Trial Balance'!E73</f>
        <v>11885.2</v>
      </c>
      <c r="C17" s="196">
        <f>-'[1]Trial Balance'!E69</f>
        <v>3705.59</v>
      </c>
      <c r="D17" s="193">
        <v>0</v>
      </c>
      <c r="E17" s="193">
        <v>0</v>
      </c>
      <c r="F17" s="192">
        <f>SUM(B17:E17)</f>
        <v>15590.79</v>
      </c>
    </row>
    <row r="18" spans="1:6" s="29" customFormat="1" ht="15" customHeight="1" thickBot="1">
      <c r="A18" s="176" t="s">
        <v>162</v>
      </c>
      <c r="B18" s="188">
        <f>SUM(B15:B17)-1</f>
        <v>4191711.73</v>
      </c>
      <c r="C18" s="188">
        <f>SUM(C15:C17)+1</f>
        <v>1392885.26</v>
      </c>
      <c r="D18" s="191">
        <f>SUM(D15:D17)</f>
        <v>0</v>
      </c>
      <c r="E18" s="191">
        <f>SUM(E15:E17)</f>
        <v>0</v>
      </c>
      <c r="F18" s="190">
        <f>SUM(F15:F17)</f>
        <v>5584596.99</v>
      </c>
    </row>
    <row r="19" spans="1:6" s="29" customFormat="1" ht="15" customHeight="1" thickTop="1">
      <c r="A19" s="181"/>
      <c r="B19" s="180"/>
      <c r="C19" s="180"/>
      <c r="D19" s="180"/>
      <c r="E19" s="180"/>
      <c r="F19" s="171"/>
    </row>
    <row r="20" spans="1:6" s="29" customFormat="1" ht="30" customHeight="1">
      <c r="A20" s="182" t="s">
        <v>185</v>
      </c>
      <c r="B20" s="189"/>
      <c r="C20" s="189"/>
      <c r="D20" s="189"/>
      <c r="E20" s="189"/>
      <c r="F20" s="180"/>
    </row>
    <row r="21" spans="1:6" s="29" customFormat="1" ht="15" customHeight="1">
      <c r="A21" s="181" t="s">
        <v>165</v>
      </c>
      <c r="B21" s="177">
        <v>0</v>
      </c>
      <c r="C21" s="180">
        <v>4409603.15</v>
      </c>
      <c r="D21" s="177">
        <v>0</v>
      </c>
      <c r="E21" s="177">
        <v>0</v>
      </c>
      <c r="F21" s="30">
        <f>SUM(B21:E21)</f>
        <v>4409603.15</v>
      </c>
    </row>
    <row r="22" spans="1:6" s="29" customFormat="1" ht="15" customHeight="1">
      <c r="A22" s="181" t="s">
        <v>164</v>
      </c>
      <c r="B22" s="177">
        <v>0</v>
      </c>
      <c r="C22" s="180">
        <v>1292283.18</v>
      </c>
      <c r="D22" s="177">
        <v>0</v>
      </c>
      <c r="E22" s="177">
        <v>0</v>
      </c>
      <c r="F22" s="30">
        <f>SUM(B22:E22)</f>
        <v>1292283.18</v>
      </c>
    </row>
    <row r="23" spans="1:6" s="29" customFormat="1" ht="15" customHeight="1">
      <c r="A23" s="181" t="s">
        <v>163</v>
      </c>
      <c r="B23" s="177">
        <v>0</v>
      </c>
      <c r="C23" s="196">
        <v>16352.51</v>
      </c>
      <c r="D23" s="177">
        <v>0</v>
      </c>
      <c r="E23" s="177">
        <v>0</v>
      </c>
      <c r="F23" s="192">
        <f>SUM(B23:E23)</f>
        <v>16352.51</v>
      </c>
    </row>
    <row r="24" spans="1:6" s="29" customFormat="1" ht="15" customHeight="1" thickBot="1">
      <c r="A24" s="176" t="s">
        <v>162</v>
      </c>
      <c r="B24" s="187">
        <f>SUM(B21:B23)</f>
        <v>0</v>
      </c>
      <c r="C24" s="188">
        <f>SUM(C21:C23)</f>
        <v>5718238.84</v>
      </c>
      <c r="D24" s="187">
        <f>SUM(D21:D23)</f>
        <v>0</v>
      </c>
      <c r="E24" s="187">
        <f>SUM(E21:E23)</f>
        <v>0</v>
      </c>
      <c r="F24" s="190">
        <f>SUM(F21:F23)</f>
        <v>5718238.84</v>
      </c>
    </row>
    <row r="25" spans="1:6" s="183" customFormat="1" ht="15" customHeight="1" thickTop="1">
      <c r="A25" s="185"/>
      <c r="B25" s="180"/>
      <c r="C25" s="180"/>
      <c r="D25" s="180"/>
      <c r="E25" s="230"/>
      <c r="F25" s="184"/>
    </row>
    <row r="26" spans="1:6" s="29" customFormat="1" ht="15" customHeight="1">
      <c r="A26" s="182" t="s">
        <v>166</v>
      </c>
      <c r="B26" s="180"/>
      <c r="C26" s="180"/>
      <c r="D26" s="180"/>
      <c r="E26" s="180"/>
      <c r="F26" s="180"/>
    </row>
    <row r="27" spans="1:6" s="29" customFormat="1" ht="15" customHeight="1">
      <c r="A27" s="181" t="s">
        <v>165</v>
      </c>
      <c r="B27" s="179">
        <f>B9-(B15-B21)</f>
        <v>1047974.6400000001</v>
      </c>
      <c r="C27" s="179">
        <f>C9-(C15-C21)</f>
        <v>3261075.1000000006</v>
      </c>
      <c r="D27" s="179">
        <f>D9-(D15-D21)</f>
        <v>-628</v>
      </c>
      <c r="E27" s="177">
        <f>E9-(E15-E21)</f>
        <v>0</v>
      </c>
      <c r="F27" s="30">
        <f>SUM(B27:E27)</f>
        <v>4308421.74</v>
      </c>
    </row>
    <row r="28" spans="1:6" s="29" customFormat="1" ht="15" customHeight="1">
      <c r="A28" s="181" t="s">
        <v>164</v>
      </c>
      <c r="B28" s="179">
        <f>B10-(B16-B22)</f>
        <v>311870.82999999996</v>
      </c>
      <c r="C28" s="179">
        <f>C10-(C16-C22)-1</f>
        <v>960132.5599999999</v>
      </c>
      <c r="D28" s="179">
        <f>D10-(D16-D22)</f>
        <v>-217</v>
      </c>
      <c r="E28" s="177">
        <f>E10-(E16-E22)</f>
        <v>0</v>
      </c>
      <c r="F28" s="30">
        <f>SUM(B28:E28)+1</f>
        <v>1271787.39</v>
      </c>
    </row>
    <row r="29" spans="1:6" s="29" customFormat="1" ht="15" customHeight="1">
      <c r="A29" s="178" t="s">
        <v>163</v>
      </c>
      <c r="B29" s="229">
        <f>B11-(B17-B23)</f>
        <v>3283.7999999999993</v>
      </c>
      <c r="C29" s="229">
        <f>C11-(C17-C23)</f>
        <v>11412.92</v>
      </c>
      <c r="D29" s="177">
        <f>D11-(D17-D23)</f>
        <v>0</v>
      </c>
      <c r="E29" s="177">
        <f>E11-(E17-E23)</f>
        <v>0</v>
      </c>
      <c r="F29" s="30">
        <f>SUM(B29:E29)</f>
        <v>14696.72</v>
      </c>
    </row>
    <row r="30" spans="1:6" s="29" customFormat="1" ht="15" customHeight="1" thickBot="1">
      <c r="A30" s="176" t="s">
        <v>162</v>
      </c>
      <c r="B30" s="174">
        <f>SUM(B27:B29)+1</f>
        <v>1363130.2700000003</v>
      </c>
      <c r="C30" s="174">
        <f>SUM(C27:C29)</f>
        <v>4232620.58</v>
      </c>
      <c r="D30" s="174">
        <f>SUM(D27:D29)</f>
        <v>-845</v>
      </c>
      <c r="E30" s="173">
        <f>SUM(E27:E29)</f>
        <v>0</v>
      </c>
      <c r="F30" s="174">
        <f>SUM(F27:F29)</f>
        <v>5594905.85</v>
      </c>
    </row>
    <row r="31" spans="1:6" s="29" customFormat="1" ht="15" customHeight="1" thickTop="1">
      <c r="A31" s="176"/>
      <c r="B31" s="15"/>
      <c r="C31" s="15"/>
      <c r="D31" s="15"/>
      <c r="E31" s="228"/>
      <c r="F31" s="15"/>
    </row>
    <row r="32" spans="1:6" s="223" customFormat="1" ht="19.5" customHeight="1">
      <c r="A32" s="314" t="s">
        <v>184</v>
      </c>
      <c r="B32" s="314"/>
      <c r="C32" s="314"/>
      <c r="D32" s="314"/>
      <c r="E32" s="314"/>
      <c r="F32" s="314"/>
    </row>
    <row r="33" spans="1:6" s="223" customFormat="1" ht="19.5" customHeight="1">
      <c r="A33" s="314"/>
      <c r="B33" s="314"/>
      <c r="C33" s="314"/>
      <c r="D33" s="314"/>
      <c r="E33" s="314"/>
      <c r="F33" s="314"/>
    </row>
    <row r="34" spans="1:6" s="223" customFormat="1" ht="19.5" customHeight="1">
      <c r="A34" s="314"/>
      <c r="B34" s="314"/>
      <c r="C34" s="314"/>
      <c r="D34" s="314"/>
      <c r="E34" s="314"/>
      <c r="F34" s="314"/>
    </row>
    <row r="35" spans="1:6" s="223" customFormat="1" ht="15" customHeight="1">
      <c r="A35" s="214"/>
      <c r="B35" s="315" t="s">
        <v>183</v>
      </c>
      <c r="C35" s="225"/>
      <c r="D35" s="227"/>
      <c r="E35" s="315" t="s">
        <v>183</v>
      </c>
      <c r="F35" s="225"/>
    </row>
    <row r="36" spans="1:6" s="223" customFormat="1" ht="15" customHeight="1">
      <c r="A36" s="226" t="s">
        <v>182</v>
      </c>
      <c r="B36" s="315"/>
      <c r="C36" s="224" t="s">
        <v>181</v>
      </c>
      <c r="D36" s="225" t="s">
        <v>182</v>
      </c>
      <c r="E36" s="315"/>
      <c r="F36" s="224" t="s">
        <v>181</v>
      </c>
    </row>
    <row r="37" spans="1:6" ht="15" customHeight="1">
      <c r="A37" s="221" t="s">
        <v>180</v>
      </c>
      <c r="B37" s="219">
        <v>886780.3900000001</v>
      </c>
      <c r="C37" s="219">
        <v>1058741.1900000002</v>
      </c>
      <c r="D37" s="222" t="s">
        <v>179</v>
      </c>
      <c r="E37" s="219">
        <v>848111</v>
      </c>
      <c r="F37" s="219">
        <f>147363+848111</f>
        <v>995474</v>
      </c>
    </row>
    <row r="38" spans="1:7" ht="15" customHeight="1">
      <c r="A38" s="221" t="s">
        <v>178</v>
      </c>
      <c r="B38" s="219">
        <v>874116.0599999998</v>
      </c>
      <c r="C38" s="219">
        <v>1038434.0599999998</v>
      </c>
      <c r="D38" s="222" t="s">
        <v>177</v>
      </c>
      <c r="E38" s="219">
        <v>845292.1799999999</v>
      </c>
      <c r="F38" s="219">
        <f>144440+845292</f>
        <v>989732</v>
      </c>
      <c r="G38" s="218"/>
    </row>
    <row r="39" spans="1:7" ht="15" customHeight="1">
      <c r="A39" s="221" t="s">
        <v>176</v>
      </c>
      <c r="B39" s="219">
        <v>880516.9400000002</v>
      </c>
      <c r="C39" s="219">
        <v>1042773.7200000002</v>
      </c>
      <c r="D39" s="220"/>
      <c r="E39" s="219"/>
      <c r="F39" s="219"/>
      <c r="G39" s="218"/>
    </row>
    <row r="40" spans="1:7" ht="15" customHeight="1">
      <c r="A40" s="221" t="s">
        <v>175</v>
      </c>
      <c r="B40" s="219">
        <v>890055.97</v>
      </c>
      <c r="C40" s="219">
        <v>1045468.4099999999</v>
      </c>
      <c r="D40" s="220"/>
      <c r="E40" s="219"/>
      <c r="F40" s="219"/>
      <c r="G40" s="218"/>
    </row>
    <row r="41" spans="1:6" s="214" customFormat="1" ht="15" customHeight="1">
      <c r="A41" s="216"/>
      <c r="B41" s="217"/>
      <c r="C41" s="217"/>
      <c r="D41" s="217"/>
      <c r="E41" s="216"/>
      <c r="F41" s="215"/>
    </row>
    <row r="42" spans="1:6" s="214" customFormat="1" ht="15" customHeight="1">
      <c r="A42" s="314" t="s">
        <v>174</v>
      </c>
      <c r="B42" s="314"/>
      <c r="C42" s="314"/>
      <c r="D42" s="314"/>
      <c r="E42" s="314"/>
      <c r="F42" s="314"/>
    </row>
    <row r="43" spans="1:6" s="214" customFormat="1" ht="15" customHeight="1">
      <c r="A43" s="314"/>
      <c r="B43" s="314"/>
      <c r="C43" s="314"/>
      <c r="D43" s="314"/>
      <c r="E43" s="314"/>
      <c r="F43" s="314"/>
    </row>
    <row r="44" spans="1:6" s="214" customFormat="1" ht="15" customHeight="1">
      <c r="A44" s="216"/>
      <c r="B44" s="217"/>
      <c r="C44" s="217"/>
      <c r="D44" s="217"/>
      <c r="E44" s="216"/>
      <c r="F44" s="215"/>
    </row>
    <row r="45" spans="1:6" s="214" customFormat="1" ht="15" customHeight="1">
      <c r="A45" s="216"/>
      <c r="B45" s="217"/>
      <c r="C45" s="217"/>
      <c r="D45" s="217"/>
      <c r="E45" s="216"/>
      <c r="F45" s="215"/>
    </row>
    <row r="46" spans="1:6" s="214" customFormat="1" ht="15" customHeight="1">
      <c r="A46" s="216"/>
      <c r="B46" s="217"/>
      <c r="C46" s="217"/>
      <c r="D46" s="217"/>
      <c r="E46" s="216"/>
      <c r="F46" s="215"/>
    </row>
    <row r="47" spans="1:6" s="214" customFormat="1" ht="15" customHeight="1">
      <c r="A47" s="216"/>
      <c r="B47" s="217"/>
      <c r="C47" s="217"/>
      <c r="D47" s="217"/>
      <c r="E47" s="216"/>
      <c r="F47" s="215"/>
    </row>
    <row r="48" spans="1:6" s="214" customFormat="1" ht="15" customHeight="1">
      <c r="A48" s="216"/>
      <c r="B48" s="217"/>
      <c r="C48" s="217"/>
      <c r="D48" s="217"/>
      <c r="E48" s="216"/>
      <c r="F48" s="215"/>
    </row>
    <row r="49" spans="1:6" s="214" customFormat="1" ht="15" customHeight="1">
      <c r="A49" s="216"/>
      <c r="B49" s="217"/>
      <c r="C49" s="217"/>
      <c r="D49" s="217"/>
      <c r="E49" s="216"/>
      <c r="F49" s="215"/>
    </row>
    <row r="50" spans="1:6" s="214" customFormat="1" ht="15" customHeight="1">
      <c r="A50" s="216"/>
      <c r="B50" s="217"/>
      <c r="C50" s="217"/>
      <c r="D50" s="217"/>
      <c r="E50" s="216"/>
      <c r="F50" s="215"/>
    </row>
    <row r="51" spans="1:6" s="214" customFormat="1" ht="15" customHeight="1">
      <c r="A51" s="216"/>
      <c r="B51" s="217"/>
      <c r="C51" s="217"/>
      <c r="D51" s="217"/>
      <c r="E51" s="216"/>
      <c r="F51" s="215"/>
    </row>
    <row r="52" spans="1:6" s="214" customFormat="1" ht="15" customHeight="1">
      <c r="A52" s="216"/>
      <c r="B52" s="217"/>
      <c r="C52" s="217"/>
      <c r="D52" s="217"/>
      <c r="E52" s="216"/>
      <c r="F52" s="215"/>
    </row>
    <row r="53" spans="1:6" s="214" customFormat="1" ht="15" customHeight="1">
      <c r="A53" s="216"/>
      <c r="B53" s="217"/>
      <c r="C53" s="217"/>
      <c r="D53" s="217"/>
      <c r="E53" s="216"/>
      <c r="F53" s="215"/>
    </row>
    <row r="54" spans="1:6" s="214" customFormat="1" ht="15" customHeight="1">
      <c r="A54" s="216"/>
      <c r="B54" s="217"/>
      <c r="C54" s="217"/>
      <c r="D54" s="217"/>
      <c r="E54" s="216"/>
      <c r="F54" s="215"/>
    </row>
    <row r="55" spans="1:6" s="214" customFormat="1" ht="15" customHeight="1">
      <c r="A55" s="216"/>
      <c r="B55" s="217"/>
      <c r="C55" s="217"/>
      <c r="D55" s="217"/>
      <c r="E55" s="216"/>
      <c r="F55" s="215"/>
    </row>
    <row r="56" spans="1:6" s="214" customFormat="1" ht="15" customHeight="1">
      <c r="A56" s="216"/>
      <c r="B56" s="217"/>
      <c r="C56" s="217"/>
      <c r="D56" s="217"/>
      <c r="E56" s="216"/>
      <c r="F56" s="215"/>
    </row>
    <row r="57" spans="1:6" s="214" customFormat="1" ht="15" customHeight="1">
      <c r="A57" s="216"/>
      <c r="B57" s="217"/>
      <c r="C57" s="217"/>
      <c r="D57" s="217"/>
      <c r="E57" s="216"/>
      <c r="F57" s="215"/>
    </row>
    <row r="58" spans="1:6" s="214" customFormat="1" ht="15" customHeight="1">
      <c r="A58" s="216"/>
      <c r="B58" s="217"/>
      <c r="C58" s="217"/>
      <c r="D58" s="217"/>
      <c r="E58" s="216"/>
      <c r="F58" s="215"/>
    </row>
  </sheetData>
  <sheetProtection/>
  <mergeCells count="4">
    <mergeCell ref="A42:F43"/>
    <mergeCell ref="A32:F34"/>
    <mergeCell ref="B35:B36"/>
    <mergeCell ref="E35:E36"/>
  </mergeCells>
  <printOptions horizontalCentered="1"/>
  <pageMargins left="0.25" right="0.25" top="0.5" bottom="0.5" header="0.25" footer="0.25"/>
  <pageSetup horizontalDpi="600" verticalDpi="600" orientation="landscape" scale="75" r:id="rId1"/>
  <headerFooter alignWithMargins="0">
    <oddFooter>&amp;CPage 8</oddFooter>
  </headerFooter>
</worksheet>
</file>

<file path=xl/worksheets/sheet9.xml><?xml version="1.0" encoding="utf-8"?>
<worksheet xmlns="http://schemas.openxmlformats.org/spreadsheetml/2006/main" xmlns:r="http://schemas.openxmlformats.org/officeDocument/2006/relationships">
  <dimension ref="A1:F74"/>
  <sheetViews>
    <sheetView zoomScalePageLayoutView="0" workbookViewId="0" topLeftCell="A1">
      <selection activeCell="A1" sqref="A1:F1"/>
    </sheetView>
  </sheetViews>
  <sheetFormatPr defaultColWidth="15.7109375" defaultRowHeight="15" customHeight="1"/>
  <cols>
    <col min="1" max="1" width="59.00390625" style="233" customWidth="1"/>
    <col min="2" max="4" width="16.7109375" style="232" customWidth="1"/>
    <col min="5" max="6" width="16.7109375" style="231" customWidth="1"/>
    <col min="7" max="16384" width="15.7109375" style="137" customWidth="1"/>
  </cols>
  <sheetData>
    <row r="1" spans="1:6" s="260" customFormat="1" ht="24.75" customHeight="1">
      <c r="A1" s="316" t="s">
        <v>38</v>
      </c>
      <c r="B1" s="316"/>
      <c r="C1" s="316"/>
      <c r="D1" s="316"/>
      <c r="E1" s="316"/>
      <c r="F1" s="316"/>
    </row>
    <row r="2" spans="1:6" s="259" customFormat="1" ht="15" customHeight="1">
      <c r="A2" s="234"/>
      <c r="B2" s="256"/>
      <c r="C2" s="256"/>
      <c r="D2" s="256"/>
      <c r="E2" s="256"/>
      <c r="F2" s="256"/>
    </row>
    <row r="3" spans="1:6" s="258" customFormat="1" ht="15" customHeight="1">
      <c r="A3" s="317" t="s">
        <v>197</v>
      </c>
      <c r="B3" s="317"/>
      <c r="C3" s="317"/>
      <c r="D3" s="317"/>
      <c r="E3" s="317"/>
      <c r="F3" s="317"/>
    </row>
    <row r="4" spans="1:6" s="258" customFormat="1" ht="15" customHeight="1">
      <c r="A4" s="317" t="s">
        <v>105</v>
      </c>
      <c r="B4" s="317"/>
      <c r="C4" s="317"/>
      <c r="D4" s="317"/>
      <c r="E4" s="317"/>
      <c r="F4" s="317"/>
    </row>
    <row r="5" spans="1:6" s="255" customFormat="1" ht="15" customHeight="1">
      <c r="A5" s="234"/>
      <c r="B5" s="257"/>
      <c r="C5" s="257"/>
      <c r="D5" s="257"/>
      <c r="E5" s="256"/>
      <c r="F5" s="256"/>
    </row>
    <row r="6" spans="2:6" ht="30" customHeight="1">
      <c r="B6" s="329" t="s">
        <v>104</v>
      </c>
      <c r="C6" s="329" t="s">
        <v>103</v>
      </c>
      <c r="D6" s="329" t="s">
        <v>102</v>
      </c>
      <c r="E6" s="329" t="s">
        <v>101</v>
      </c>
      <c r="F6" s="329" t="s">
        <v>100</v>
      </c>
    </row>
    <row r="7" spans="1:6" ht="15" customHeight="1">
      <c r="A7" s="246" t="s">
        <v>196</v>
      </c>
      <c r="B7" s="235"/>
      <c r="C7" s="235"/>
      <c r="D7" s="235"/>
      <c r="E7" s="235"/>
      <c r="F7" s="235"/>
    </row>
    <row r="8" spans="1:6" ht="15" customHeight="1">
      <c r="A8" s="246" t="s">
        <v>195</v>
      </c>
      <c r="B8" s="254"/>
      <c r="C8" s="254"/>
      <c r="D8" s="254"/>
      <c r="E8" s="254"/>
      <c r="F8" s="254"/>
    </row>
    <row r="9" spans="1:6" ht="15" customHeight="1">
      <c r="A9" s="244" t="s">
        <v>194</v>
      </c>
      <c r="B9" s="198">
        <f>'[1]Loss Expenses Paid QTD-15'!E27</f>
        <v>309371.71</v>
      </c>
      <c r="C9" s="198">
        <f>'[1]Loss Expenses Paid QTD-15'!E21</f>
        <v>905810.98</v>
      </c>
      <c r="D9" s="198">
        <f>'[1]Loss Expenses Paid QTD-15'!E15+'[1]Trial Balance'!C299+'[1]Trial Balance'!C296-1</f>
        <v>66026.79</v>
      </c>
      <c r="E9" s="177">
        <v>0</v>
      </c>
      <c r="F9" s="198">
        <f>SUM(B9:E9)+1</f>
        <v>1281210.48</v>
      </c>
    </row>
    <row r="10" spans="1:6" ht="15" customHeight="1">
      <c r="A10" s="244" t="s">
        <v>164</v>
      </c>
      <c r="B10" s="196">
        <f>'[1]Loss Expenses Paid QTD-15'!E28</f>
        <v>31840.97</v>
      </c>
      <c r="C10" s="196">
        <f>'[1]Loss Expenses Paid QTD-15'!E22+'[1]Trial Balance'!C302</f>
        <v>132990.16</v>
      </c>
      <c r="D10" s="195">
        <f>'[1]Loss Expenses Paid QTD-15'!E16+'[1]Trial Balance'!C300+'[1]Trial Balance'!C297-1</f>
        <v>49051.369999999995</v>
      </c>
      <c r="E10" s="177">
        <v>0</v>
      </c>
      <c r="F10" s="196">
        <f>SUM(B10:E10)-1</f>
        <v>213881.5</v>
      </c>
    </row>
    <row r="11" spans="1:6" ht="15" customHeight="1">
      <c r="A11" s="244" t="s">
        <v>163</v>
      </c>
      <c r="B11" s="177">
        <f>'[1]Loss Expenses Paid QTD-15'!E29</f>
        <v>0</v>
      </c>
      <c r="C11" s="195">
        <f>'[1]Loss Expenses Paid QTD-15'!E23</f>
        <v>1597.1</v>
      </c>
      <c r="D11" s="177">
        <f>'[1]Loss Expenses Paid QTD-15'!E17</f>
        <v>0</v>
      </c>
      <c r="E11" s="177">
        <f>'[1]Loss Expenses Paid QTD-15'!E11</f>
        <v>0</v>
      </c>
      <c r="F11" s="196">
        <f>SUM(B11:E11)</f>
        <v>1597.1</v>
      </c>
    </row>
    <row r="12" spans="1:6" ht="15" customHeight="1" thickBot="1">
      <c r="A12" s="243" t="s">
        <v>162</v>
      </c>
      <c r="B12" s="88">
        <f>SUM(B9:B11)</f>
        <v>341212.68000000005</v>
      </c>
      <c r="C12" s="88">
        <f>SUM(C9:C11)</f>
        <v>1040398.24</v>
      </c>
      <c r="D12" s="253">
        <f>SUM(D9:D11)</f>
        <v>115078.15999999999</v>
      </c>
      <c r="E12" s="187">
        <f>SUM(E9:E11)</f>
        <v>0</v>
      </c>
      <c r="F12" s="252">
        <f>SUM(F9:F11)</f>
        <v>1496689.08</v>
      </c>
    </row>
    <row r="13" spans="1:6" ht="15" customHeight="1" thickTop="1">
      <c r="A13" s="246"/>
      <c r="B13" s="245"/>
      <c r="C13" s="245"/>
      <c r="D13" s="245"/>
      <c r="E13" s="196"/>
      <c r="F13" s="196"/>
    </row>
    <row r="14" spans="1:6" ht="15" customHeight="1">
      <c r="A14" s="246" t="s">
        <v>193</v>
      </c>
      <c r="B14" s="245"/>
      <c r="C14" s="245"/>
      <c r="D14" s="245"/>
      <c r="E14" s="196"/>
      <c r="F14" s="196"/>
    </row>
    <row r="15" spans="1:6" ht="15" customHeight="1">
      <c r="A15" s="244" t="s">
        <v>188</v>
      </c>
      <c r="B15" s="196">
        <f>'[1]Unpaid Loss Reserves-13'!B9</f>
        <v>691835.6</v>
      </c>
      <c r="C15" s="196">
        <f>'[1]Unpaid Loss Reserves-13'!C9</f>
        <v>1213398.58</v>
      </c>
      <c r="D15" s="196">
        <f>'[1]Unpaid Loss Reserves-13'!D9</f>
        <v>97263.69</v>
      </c>
      <c r="E15" s="177">
        <f>'[1]Unpaid Loss Reserves-13'!E9</f>
        <v>0</v>
      </c>
      <c r="F15" s="196">
        <f>SUM(B15:E15)+1</f>
        <v>2002498.87</v>
      </c>
    </row>
    <row r="16" spans="1:6" ht="15" customHeight="1">
      <c r="A16" s="244" t="s">
        <v>187</v>
      </c>
      <c r="B16" s="196">
        <f>'[1]Unpaid Loss Reserves-13'!B10</f>
        <v>12041</v>
      </c>
      <c r="C16" s="196">
        <f>'[1]Unpaid Loss Reserves-13'!C10</f>
        <v>166880.81</v>
      </c>
      <c r="D16" s="196">
        <f>'[1]Unpaid Loss Reserves-13'!D10</f>
        <v>1000</v>
      </c>
      <c r="E16" s="177">
        <f>'[1]Unpaid Loss Reserves-13'!E10</f>
        <v>0</v>
      </c>
      <c r="F16" s="196">
        <f>SUM(B16:E16)</f>
        <v>179921.81</v>
      </c>
    </row>
    <row r="17" spans="1:6" ht="15" customHeight="1">
      <c r="A17" s="244" t="s">
        <v>186</v>
      </c>
      <c r="B17" s="177">
        <f>'[1]Unpaid Loss Reserves-13'!B11</f>
        <v>0</v>
      </c>
      <c r="C17" s="177">
        <f>'[1]Unpaid Loss Reserves-13'!C11</f>
        <v>0</v>
      </c>
      <c r="D17" s="177">
        <f>'[1]Unpaid Loss Reserves-13'!D11</f>
        <v>0</v>
      </c>
      <c r="E17" s="177">
        <f>'[1]Unpaid Loss Reserves-13'!E11</f>
        <v>0</v>
      </c>
      <c r="F17" s="177">
        <f>SUM(B17:E17)</f>
        <v>0</v>
      </c>
    </row>
    <row r="18" spans="1:6" ht="15" customHeight="1" thickBot="1">
      <c r="A18" s="243" t="s">
        <v>162</v>
      </c>
      <c r="B18" s="88">
        <f>SUM(B15:B17)</f>
        <v>703876.6</v>
      </c>
      <c r="C18" s="88">
        <f>SUM(C15:C17)+1</f>
        <v>1380280.3900000001</v>
      </c>
      <c r="D18" s="88">
        <f>SUM(D15:D17)</f>
        <v>98263.69</v>
      </c>
      <c r="E18" s="187">
        <f>SUM(E15:E17)</f>
        <v>0</v>
      </c>
      <c r="F18" s="173">
        <f>SUM(F15:F17)</f>
        <v>2182420.68</v>
      </c>
    </row>
    <row r="19" spans="1:6" ht="15" customHeight="1" thickTop="1">
      <c r="A19" s="246"/>
      <c r="B19" s="89"/>
      <c r="C19" s="89"/>
      <c r="D19" s="89"/>
      <c r="E19" s="251"/>
      <c r="F19" s="251"/>
    </row>
    <row r="20" spans="1:6" ht="15" customHeight="1">
      <c r="A20" s="246" t="s">
        <v>192</v>
      </c>
      <c r="B20" s="241"/>
      <c r="C20" s="241"/>
      <c r="D20" s="241"/>
      <c r="E20" s="241"/>
      <c r="F20" s="241"/>
    </row>
    <row r="21" spans="1:6" ht="15" customHeight="1">
      <c r="A21" s="244" t="s">
        <v>188</v>
      </c>
      <c r="B21" s="196">
        <f>'[1]Unpaid Loss Reserves-13'!B16</f>
        <v>49144.67</v>
      </c>
      <c r="C21" s="196">
        <f>'[1]Unpaid Loss Reserves-13'!C16</f>
        <v>57075.33</v>
      </c>
      <c r="D21" s="177">
        <f>'[1]Unpaid Loss Reserves-13'!D16</f>
        <v>0</v>
      </c>
      <c r="E21" s="177">
        <f>'[1]Unpaid Loss Reserves-13'!E16</f>
        <v>0</v>
      </c>
      <c r="F21" s="196">
        <f>SUM(B21:E21)</f>
        <v>106220</v>
      </c>
    </row>
    <row r="22" spans="1:6" ht="15" customHeight="1">
      <c r="A22" s="244" t="s">
        <v>187</v>
      </c>
      <c r="B22" s="196">
        <f>'[1]Unpaid Loss Reserves-13'!B17</f>
        <v>855.33</v>
      </c>
      <c r="C22" s="196">
        <f>'[1]Unpaid Loss Reserves-13'!C17</f>
        <v>7849.67</v>
      </c>
      <c r="D22" s="177">
        <f>'[1]Unpaid Loss Reserves-13'!D17</f>
        <v>0</v>
      </c>
      <c r="E22" s="177">
        <f>'[1]Unpaid Loss Reserves-13'!E17</f>
        <v>0</v>
      </c>
      <c r="F22" s="196">
        <f>SUM(B22:E22)</f>
        <v>8705</v>
      </c>
    </row>
    <row r="23" spans="1:6" ht="15" customHeight="1">
      <c r="A23" s="244" t="s">
        <v>186</v>
      </c>
      <c r="B23" s="177">
        <f>'[1]Unpaid Loss Reserves-13'!B18</f>
        <v>0</v>
      </c>
      <c r="C23" s="177">
        <f>'[1]Unpaid Loss Reserves-13'!C18</f>
        <v>0</v>
      </c>
      <c r="D23" s="177">
        <f>'[1]Unpaid Loss Reserves-13'!D18</f>
        <v>0</v>
      </c>
      <c r="E23" s="177">
        <f>'[1]Unpaid Loss Reserves-13'!E18</f>
        <v>0</v>
      </c>
      <c r="F23" s="196">
        <f>SUM(B23:E23)</f>
        <v>0</v>
      </c>
    </row>
    <row r="24" spans="1:6" ht="15" customHeight="1" thickBot="1">
      <c r="A24" s="243" t="s">
        <v>162</v>
      </c>
      <c r="B24" s="88">
        <f>SUM(B21:B23)</f>
        <v>50000</v>
      </c>
      <c r="C24" s="88">
        <f>SUM(C21:C23)</f>
        <v>64925</v>
      </c>
      <c r="D24" s="94">
        <f>SUM(D21:D23)</f>
        <v>0</v>
      </c>
      <c r="E24" s="187">
        <f>SUM(E21:E23)</f>
        <v>0</v>
      </c>
      <c r="F24" s="173">
        <f>SUM(F21:F23)</f>
        <v>114925</v>
      </c>
    </row>
    <row r="25" spans="1:6" ht="15" customHeight="1" thickTop="1">
      <c r="A25" s="246"/>
      <c r="B25" s="245"/>
      <c r="C25" s="245"/>
      <c r="D25" s="245"/>
      <c r="E25" s="196"/>
      <c r="F25" s="196"/>
    </row>
    <row r="26" spans="1:6" ht="15" customHeight="1">
      <c r="A26" s="246" t="s">
        <v>191</v>
      </c>
      <c r="B26" s="248"/>
      <c r="C26" s="248"/>
      <c r="D26" s="248"/>
      <c r="E26" s="196"/>
      <c r="F26" s="196"/>
    </row>
    <row r="27" spans="1:6" ht="15" customHeight="1">
      <c r="A27" s="246" t="s">
        <v>190</v>
      </c>
      <c r="B27" s="248"/>
      <c r="C27" s="248"/>
      <c r="D27" s="248"/>
      <c r="E27" s="196"/>
      <c r="F27" s="196"/>
    </row>
    <row r="28" spans="1:6" ht="15" customHeight="1">
      <c r="A28" s="244" t="s">
        <v>188</v>
      </c>
      <c r="B28" s="245">
        <v>130816.63</v>
      </c>
      <c r="C28" s="245">
        <f>1242059.09+1</f>
        <v>1242060.09</v>
      </c>
      <c r="D28" s="250">
        <v>226533.81</v>
      </c>
      <c r="E28" s="245">
        <v>5000</v>
      </c>
      <c r="F28" s="196">
        <f>SUM(B28:E28)</f>
        <v>1604410.5300000003</v>
      </c>
    </row>
    <row r="29" spans="1:6" ht="15" customHeight="1">
      <c r="A29" s="244" t="s">
        <v>187</v>
      </c>
      <c r="B29" s="245">
        <v>16837.37</v>
      </c>
      <c r="C29" s="245">
        <v>351906.89</v>
      </c>
      <c r="D29" s="245">
        <v>89377.75</v>
      </c>
      <c r="E29" s="245">
        <v>20000</v>
      </c>
      <c r="F29" s="196">
        <f>SUM(B29:E29)</f>
        <v>478122.01</v>
      </c>
    </row>
    <row r="30" spans="1:6" ht="15" customHeight="1">
      <c r="A30" s="244" t="s">
        <v>186</v>
      </c>
      <c r="B30" s="177">
        <v>0</v>
      </c>
      <c r="C30" s="245">
        <v>6801.83</v>
      </c>
      <c r="D30" s="177">
        <v>0</v>
      </c>
      <c r="E30" s="177">
        <v>0</v>
      </c>
      <c r="F30" s="196">
        <f>SUM(B30:E30)</f>
        <v>6801.83</v>
      </c>
    </row>
    <row r="31" spans="1:6" ht="15" customHeight="1" thickBot="1">
      <c r="A31" s="243" t="s">
        <v>162</v>
      </c>
      <c r="B31" s="88">
        <f>SUM(B28:B30)</f>
        <v>147654</v>
      </c>
      <c r="C31" s="88">
        <f>SUM(C28:C30)</f>
        <v>1600768.81</v>
      </c>
      <c r="D31" s="88">
        <f>SUM(D28:D30)</f>
        <v>315911.56</v>
      </c>
      <c r="E31" s="249">
        <f>SUM(E28:E30)</f>
        <v>25000</v>
      </c>
      <c r="F31" s="173">
        <f>SUM(F28:F30)+1</f>
        <v>2089335.3700000003</v>
      </c>
    </row>
    <row r="32" spans="1:6" s="247" customFormat="1" ht="15" customHeight="1" thickTop="1">
      <c r="A32" s="246"/>
      <c r="B32" s="248"/>
      <c r="C32" s="248"/>
      <c r="D32" s="248"/>
      <c r="E32" s="248"/>
      <c r="F32" s="248"/>
    </row>
    <row r="33" spans="1:6" ht="15" customHeight="1">
      <c r="A33" s="246" t="s">
        <v>189</v>
      </c>
      <c r="B33" s="245"/>
      <c r="C33" s="245"/>
      <c r="D33" s="245"/>
      <c r="E33" s="196"/>
      <c r="F33" s="196"/>
    </row>
    <row r="34" spans="1:6" ht="15" customHeight="1">
      <c r="A34" s="244" t="s">
        <v>188</v>
      </c>
      <c r="B34" s="196">
        <f>B9+(B15+B21-B28)+1</f>
        <v>919536.3500000001</v>
      </c>
      <c r="C34" s="195">
        <f>C9+(C15+C21-C28)</f>
        <v>934224.8</v>
      </c>
      <c r="D34" s="195">
        <f>D9+(D15+D21-D28)</f>
        <v>-63243.33</v>
      </c>
      <c r="E34" s="195">
        <f>E9+(E15+E21-E28)</f>
        <v>-5000</v>
      </c>
      <c r="F34" s="196">
        <f>SUM(B34:E34)</f>
        <v>1785517.82</v>
      </c>
    </row>
    <row r="35" spans="1:6" ht="15" customHeight="1">
      <c r="A35" s="244" t="s">
        <v>187</v>
      </c>
      <c r="B35" s="196">
        <f>B10+(B16+B22-B29)</f>
        <v>27899.93</v>
      </c>
      <c r="C35" s="195">
        <f>C10+(C16+C22-C29)</f>
        <v>-44186.25</v>
      </c>
      <c r="D35" s="195">
        <f>D10+(D16+D22-D29)-1</f>
        <v>-39327.380000000005</v>
      </c>
      <c r="E35" s="195">
        <f>E10+(E16+E22-E29)</f>
        <v>-20000</v>
      </c>
      <c r="F35" s="195">
        <f>SUM(B35:E35)+1</f>
        <v>-75612.70000000001</v>
      </c>
    </row>
    <row r="36" spans="1:6" ht="15" customHeight="1">
      <c r="A36" s="244" t="s">
        <v>186</v>
      </c>
      <c r="B36" s="177">
        <f>B11+(B17+B23-B30)</f>
        <v>0</v>
      </c>
      <c r="C36" s="195">
        <f>C11+(C17+C23-C30)</f>
        <v>-5204.73</v>
      </c>
      <c r="D36" s="177">
        <f>D11+(D17+D23-D30)</f>
        <v>0</v>
      </c>
      <c r="E36" s="177">
        <f>E11+(E17+E23-E30)</f>
        <v>0</v>
      </c>
      <c r="F36" s="195">
        <f>SUM(B36:E36)</f>
        <v>-5204.73</v>
      </c>
    </row>
    <row r="37" spans="1:6" ht="15" customHeight="1" thickBot="1">
      <c r="A37" s="243" t="s">
        <v>162</v>
      </c>
      <c r="B37" s="242">
        <f>SUM(B34:B36)</f>
        <v>947436.2800000001</v>
      </c>
      <c r="C37" s="242">
        <f>SUM(C34:C36)</f>
        <v>884833.8200000001</v>
      </c>
      <c r="D37" s="242">
        <f>SUM(D34:D36)+1</f>
        <v>-102569.71</v>
      </c>
      <c r="E37" s="242">
        <f>SUM(E34:E36)</f>
        <v>-25000</v>
      </c>
      <c r="F37" s="242">
        <f>SUM(F34:F36)</f>
        <v>1704700.3900000001</v>
      </c>
    </row>
    <row r="38" spans="2:6" ht="15" customHeight="1" thickTop="1">
      <c r="B38" s="241"/>
      <c r="C38" s="241"/>
      <c r="D38" s="241"/>
      <c r="F38" s="237"/>
    </row>
    <row r="39" spans="1:6" s="236" customFormat="1" ht="15" customHeight="1">
      <c r="A39" s="240"/>
      <c r="B39" s="239"/>
      <c r="C39" s="239"/>
      <c r="D39" s="239"/>
      <c r="E39" s="238"/>
      <c r="F39" s="237"/>
    </row>
    <row r="40" spans="2:4" ht="15" customHeight="1">
      <c r="B40" s="235"/>
      <c r="C40" s="235"/>
      <c r="D40" s="235"/>
    </row>
    <row r="41" spans="2:4" ht="15" customHeight="1">
      <c r="B41" s="235"/>
      <c r="C41" s="235"/>
      <c r="D41" s="235"/>
    </row>
    <row r="42" spans="2:4" ht="15" customHeight="1">
      <c r="B42" s="235"/>
      <c r="C42" s="235"/>
      <c r="D42" s="235"/>
    </row>
    <row r="43" spans="1:4" ht="15" customHeight="1">
      <c r="A43" s="234"/>
      <c r="B43" s="235"/>
      <c r="C43" s="235"/>
      <c r="D43" s="235"/>
    </row>
    <row r="44" spans="1:4" ht="15" customHeight="1">
      <c r="A44" s="234"/>
      <c r="B44" s="235"/>
      <c r="C44" s="235"/>
      <c r="D44" s="235"/>
    </row>
    <row r="45" spans="1:4" ht="15" customHeight="1">
      <c r="A45" s="234"/>
      <c r="B45" s="235"/>
      <c r="C45" s="235"/>
      <c r="D45" s="235"/>
    </row>
    <row r="46" spans="1:4" ht="15" customHeight="1">
      <c r="A46" s="234"/>
      <c r="B46" s="235"/>
      <c r="C46" s="235"/>
      <c r="D46" s="235"/>
    </row>
    <row r="47" spans="1:4" ht="15" customHeight="1">
      <c r="A47" s="234"/>
      <c r="B47" s="235"/>
      <c r="C47" s="235"/>
      <c r="D47" s="235"/>
    </row>
    <row r="48" spans="1:4" ht="15" customHeight="1">
      <c r="A48" s="234"/>
      <c r="B48" s="235"/>
      <c r="C48" s="235"/>
      <c r="D48" s="235"/>
    </row>
    <row r="49" spans="1:4" s="137" customFormat="1" ht="15" customHeight="1">
      <c r="A49" s="234"/>
      <c r="B49" s="235"/>
      <c r="C49" s="235"/>
      <c r="D49" s="235"/>
    </row>
    <row r="50" spans="1:4" s="137" customFormat="1" ht="15" customHeight="1">
      <c r="A50" s="234"/>
      <c r="B50" s="235"/>
      <c r="C50" s="235"/>
      <c r="D50" s="235"/>
    </row>
    <row r="51" spans="1:4" s="137" customFormat="1" ht="15" customHeight="1">
      <c r="A51" s="234"/>
      <c r="B51" s="235"/>
      <c r="C51" s="235"/>
      <c r="D51" s="235"/>
    </row>
    <row r="52" spans="1:4" s="137" customFormat="1" ht="15" customHeight="1">
      <c r="A52" s="234"/>
      <c r="B52" s="235"/>
      <c r="C52" s="235"/>
      <c r="D52" s="235"/>
    </row>
    <row r="53" spans="1:4" s="137" customFormat="1" ht="15" customHeight="1">
      <c r="A53" s="234"/>
      <c r="B53" s="235"/>
      <c r="C53" s="235"/>
      <c r="D53" s="235"/>
    </row>
    <row r="54" spans="1:4" s="137" customFormat="1" ht="15" customHeight="1">
      <c r="A54" s="234"/>
      <c r="B54" s="235"/>
      <c r="C54" s="235"/>
      <c r="D54" s="235"/>
    </row>
    <row r="55" spans="1:4" s="137" customFormat="1" ht="15" customHeight="1">
      <c r="A55" s="234"/>
      <c r="B55" s="232"/>
      <c r="C55" s="232"/>
      <c r="D55" s="232"/>
    </row>
    <row r="56" spans="1:4" s="137" customFormat="1" ht="15" customHeight="1">
      <c r="A56" s="234"/>
      <c r="B56" s="232"/>
      <c r="C56" s="232"/>
      <c r="D56" s="232"/>
    </row>
    <row r="57" spans="1:4" s="137" customFormat="1" ht="15" customHeight="1">
      <c r="A57" s="234"/>
      <c r="B57" s="232"/>
      <c r="C57" s="232"/>
      <c r="D57" s="232"/>
    </row>
    <row r="58" spans="1:4" s="137" customFormat="1" ht="15" customHeight="1">
      <c r="A58" s="234"/>
      <c r="B58" s="232"/>
      <c r="C58" s="232"/>
      <c r="D58" s="232"/>
    </row>
    <row r="59" spans="1:4" s="137" customFormat="1" ht="15" customHeight="1">
      <c r="A59" s="234"/>
      <c r="B59" s="232"/>
      <c r="C59" s="232"/>
      <c r="D59" s="232"/>
    </row>
    <row r="60" spans="1:4" s="137" customFormat="1" ht="15" customHeight="1">
      <c r="A60" s="234"/>
      <c r="B60" s="232"/>
      <c r="C60" s="232"/>
      <c r="D60" s="232"/>
    </row>
    <row r="61" spans="1:4" s="137" customFormat="1" ht="15" customHeight="1">
      <c r="A61" s="234"/>
      <c r="B61" s="232"/>
      <c r="C61" s="232"/>
      <c r="D61" s="232"/>
    </row>
    <row r="62" spans="1:4" s="137" customFormat="1" ht="15" customHeight="1">
      <c r="A62" s="234"/>
      <c r="B62" s="232"/>
      <c r="C62" s="232"/>
      <c r="D62" s="232"/>
    </row>
    <row r="63" spans="1:4" s="137" customFormat="1" ht="15" customHeight="1">
      <c r="A63" s="234"/>
      <c r="B63" s="232"/>
      <c r="C63" s="232"/>
      <c r="D63" s="232"/>
    </row>
    <row r="64" spans="1:4" s="137" customFormat="1" ht="15" customHeight="1">
      <c r="A64" s="234"/>
      <c r="B64" s="232"/>
      <c r="C64" s="232"/>
      <c r="D64" s="232"/>
    </row>
    <row r="65" s="137" customFormat="1" ht="15" customHeight="1">
      <c r="A65" s="234"/>
    </row>
    <row r="66" s="137" customFormat="1" ht="15" customHeight="1">
      <c r="A66" s="234"/>
    </row>
    <row r="67" s="137" customFormat="1" ht="15" customHeight="1">
      <c r="A67" s="234"/>
    </row>
    <row r="68" s="137" customFormat="1" ht="15" customHeight="1">
      <c r="A68" s="234"/>
    </row>
    <row r="69" s="137" customFormat="1" ht="15" customHeight="1">
      <c r="A69" s="234"/>
    </row>
    <row r="70" s="137" customFormat="1" ht="15" customHeight="1">
      <c r="A70" s="234"/>
    </row>
    <row r="71" s="137" customFormat="1" ht="15" customHeight="1">
      <c r="A71" s="234"/>
    </row>
    <row r="72" s="137" customFormat="1" ht="15" customHeight="1">
      <c r="A72" s="234"/>
    </row>
    <row r="73" s="137" customFormat="1" ht="15" customHeight="1">
      <c r="A73" s="234"/>
    </row>
    <row r="74" s="137" customFormat="1" ht="15" customHeight="1">
      <c r="A74" s="234"/>
    </row>
  </sheetData>
  <sheetProtection/>
  <mergeCells count="3">
    <mergeCell ref="A1:F1"/>
    <mergeCell ref="A3:F3"/>
    <mergeCell ref="A4:F4"/>
  </mergeCells>
  <printOptions horizontalCentered="1"/>
  <pageMargins left="0.25" right="0.25" top="0.5" bottom="0.5" header="0.25" footer="0.25"/>
  <pageSetup horizontalDpi="300" verticalDpi="300" orientation="landscape" scale="80" r:id="rId1"/>
  <headerFooter alignWithMargins="0">
    <oddFooter>&amp;CPage 9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aabrams</dc:creator>
  <cp:keywords/>
  <dc:description/>
  <cp:lastModifiedBy>aabrams</cp:lastModifiedBy>
  <cp:lastPrinted>2012-08-15T19:57:09Z</cp:lastPrinted>
  <dcterms:created xsi:type="dcterms:W3CDTF">2012-08-15T19:12:06Z</dcterms:created>
  <dcterms:modified xsi:type="dcterms:W3CDTF">2012-08-15T19:58:03Z</dcterms:modified>
  <cp:category/>
  <cp:version/>
  <cp:contentType/>
  <cp:contentStatus/>
</cp:coreProperties>
</file>